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customProperty" PartName="/xl/customProperty1.bin"/>
  <Override ContentType="application/vnd.openxmlformats-officedocument.spreadsheetml.customProperty" PartName="/xl/customProperty2.bin"/>
  <Override ContentType="application/vnd.openxmlformats-officedocument.spreadsheetml.customProperty" PartName="/xl/customProperty3.bin"/>
  <Override ContentType="application/vnd.openxmlformats-officedocument.spreadsheetml.comments+xml" PartName="/xl/comments1.xml"/>
  <Override ContentType="application/vnd.openxmlformats-officedocument.spreadsheetml.customProperty" PartName="/xl/customProperty4.bin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05" yWindow="1365" windowWidth="15180" windowHeight="8460" tabRatio="456"/>
  </bookViews>
  <sheets>
    <sheet name="InpC" sheetId="48" r:id="rId1"/>
    <sheet name="Time" sheetId="44" r:id="rId2"/>
    <sheet name="EfW" sheetId="49" r:id="rId3"/>
    <sheet name="Temp" sheetId="28" r:id="rId4"/>
    <sheet name="D%$&amp;01_DevSheet" sheetId="50" state="veryHidden" r:id="rId5"/>
  </sheets>
  <definedNames>
    <definedName name="_xlnm.Print_Area" localSheetId="2">EfW!$A$1:$BY$73</definedName>
    <definedName name="_xlnm.Print_Area" localSheetId="0">InpC!$A:$I</definedName>
    <definedName name="_xlnm.Print_Area" localSheetId="3">Temp!$A$1:$BY$15</definedName>
    <definedName name="_xlnm.Print_Area" localSheetId="1">Time!$A:$BY</definedName>
    <definedName name="_xlnm.Print_Titles" localSheetId="2">EfW!$A:$G,EfW!$1:$5</definedName>
    <definedName name="_xlnm.Print_Titles" localSheetId="0">InpC!$A:$G,InpC!$1:$5</definedName>
    <definedName name="_xlnm.Print_Titles" localSheetId="3">Temp!$A:$G,Temp!$1:$5</definedName>
    <definedName name="_xlnm.Print_Titles" localSheetId="1">Time!$A:$G,Time!$1:$5</definedName>
  </definedNames>
  <calcPr calcId="144525" calcMode="manual" calcCompleted="0" calcOnSave="0"/>
</workbook>
</file>

<file path=xl/calcChain.xml><?xml version="1.0" encoding="utf-8"?>
<calcChain xmlns="http://schemas.openxmlformats.org/spreadsheetml/2006/main">
  <c r="F2" i="50" l="1"/>
  <c r="G2" i="50"/>
  <c r="H2" i="50"/>
  <c r="I2" i="50"/>
  <c r="J2" i="50"/>
  <c r="K2" i="50"/>
  <c r="L2" i="50"/>
  <c r="M2" i="50"/>
  <c r="N2" i="50"/>
  <c r="O2" i="50"/>
  <c r="P2" i="50"/>
  <c r="Q2" i="50"/>
  <c r="R2" i="50"/>
  <c r="S2" i="50"/>
  <c r="T2" i="50"/>
  <c r="U2" i="50"/>
  <c r="V2" i="50"/>
  <c r="W2" i="50"/>
  <c r="X2" i="50"/>
  <c r="Y2" i="50"/>
  <c r="Z2" i="50"/>
  <c r="AA2" i="50"/>
  <c r="AB2" i="50"/>
  <c r="AC2" i="50"/>
  <c r="AD2" i="50"/>
  <c r="AE2" i="50"/>
  <c r="AF2" i="50"/>
  <c r="AG2" i="50"/>
  <c r="AH2" i="50"/>
  <c r="AI2" i="50"/>
  <c r="AJ2" i="50"/>
  <c r="AK2" i="50"/>
  <c r="AL2" i="50"/>
  <c r="AM2" i="50"/>
  <c r="AN2" i="50"/>
  <c r="AO2" i="50"/>
  <c r="AP2" i="50"/>
  <c r="AQ2" i="50"/>
  <c r="AR2" i="50"/>
  <c r="AS2" i="50"/>
  <c r="AT2" i="50"/>
  <c r="AU2" i="50"/>
  <c r="AV2" i="50"/>
  <c r="AW2" i="50"/>
  <c r="AX2" i="50"/>
  <c r="AY2" i="50"/>
  <c r="AZ2" i="50"/>
  <c r="BA2" i="50"/>
  <c r="BB2" i="50"/>
  <c r="BC2" i="50"/>
  <c r="BD2" i="50"/>
  <c r="BE2" i="50"/>
  <c r="BF2" i="50"/>
  <c r="BG2" i="50"/>
  <c r="BH2" i="50"/>
  <c r="BI2" i="50"/>
  <c r="BJ2" i="50"/>
  <c r="BK2" i="50"/>
  <c r="BL2" i="50"/>
  <c r="BM2" i="50"/>
  <c r="BN2" i="50"/>
  <c r="BO2" i="50"/>
  <c r="BP2" i="50"/>
  <c r="BQ2" i="50"/>
  <c r="BR2" i="50"/>
  <c r="BS2" i="50"/>
  <c r="BT2" i="50"/>
  <c r="BU2" i="50"/>
  <c r="BV2" i="50"/>
  <c r="BW2" i="50"/>
  <c r="BX2" i="50"/>
  <c r="BY2" i="50"/>
  <c r="BZ2" i="50"/>
  <c r="CA2" i="50"/>
  <c r="CB2" i="50"/>
  <c r="CC2" i="50"/>
  <c r="CD2" i="50"/>
  <c r="CE2" i="50"/>
  <c r="CF2" i="50"/>
  <c r="CG2" i="50"/>
  <c r="CH2" i="50"/>
  <c r="CI2" i="50"/>
  <c r="CJ2" i="50"/>
  <c r="CK2" i="50"/>
  <c r="CL2" i="50"/>
  <c r="CM2" i="50"/>
  <c r="CN2" i="50"/>
  <c r="CO2" i="50"/>
  <c r="CP2" i="50"/>
  <c r="CQ2" i="50"/>
  <c r="CR2" i="50"/>
  <c r="CS2" i="50"/>
  <c r="CT2" i="50"/>
  <c r="CU2" i="50"/>
  <c r="CV2" i="50"/>
  <c r="CW2" i="50"/>
  <c r="CX2" i="50"/>
  <c r="CY2" i="50"/>
  <c r="CZ2" i="50"/>
  <c r="DA2" i="50"/>
  <c r="DB2" i="50"/>
  <c r="DC2" i="50"/>
  <c r="DD2" i="50"/>
  <c r="DE2" i="50"/>
  <c r="DF2" i="50"/>
  <c r="DG2" i="50"/>
  <c r="DH2" i="50"/>
  <c r="DI2" i="50"/>
  <c r="DJ2" i="50"/>
  <c r="DK2" i="50"/>
  <c r="DL2" i="50"/>
  <c r="DM2" i="50"/>
  <c r="DN2" i="50"/>
  <c r="DO2" i="50"/>
  <c r="DP2" i="50"/>
  <c r="DQ2" i="50"/>
  <c r="DR2" i="50"/>
  <c r="DS2" i="50"/>
  <c r="DT2" i="50"/>
  <c r="DU2" i="50"/>
  <c r="DV2" i="50"/>
  <c r="DW2" i="50"/>
  <c r="DX2" i="50"/>
  <c r="DY2" i="50"/>
  <c r="DZ2" i="50"/>
  <c r="EA2" i="50"/>
  <c r="EB2" i="50"/>
  <c r="EC2" i="50"/>
  <c r="ED2" i="50"/>
  <c r="EE2" i="50"/>
  <c r="EF2" i="50"/>
  <c r="EG2" i="50"/>
  <c r="EH2" i="50"/>
  <c r="EI2" i="50"/>
  <c r="EJ2" i="50"/>
  <c r="EK2" i="50"/>
  <c r="EL2" i="50"/>
  <c r="EM2" i="50"/>
  <c r="EN2" i="50"/>
  <c r="EO2" i="50"/>
  <c r="EP2" i="50"/>
  <c r="EQ2" i="50"/>
  <c r="ER2" i="50"/>
  <c r="ES2" i="50"/>
  <c r="ET2" i="50"/>
  <c r="EU2" i="50"/>
  <c r="EV2" i="50"/>
  <c r="EW2" i="50"/>
  <c r="EX2" i="50"/>
  <c r="EY2" i="50"/>
  <c r="EZ2" i="50"/>
  <c r="FA2" i="50"/>
  <c r="FB2" i="50"/>
  <c r="FC2" i="50"/>
  <c r="FD2" i="50"/>
  <c r="FE2" i="50"/>
  <c r="FF2" i="50"/>
  <c r="FG2" i="50"/>
  <c r="FH2" i="50"/>
  <c r="FI2" i="50"/>
  <c r="FJ2" i="50"/>
  <c r="FK2" i="50"/>
  <c r="FL2" i="50"/>
  <c r="FM2" i="50"/>
  <c r="FN2" i="50"/>
  <c r="FO2" i="50"/>
  <c r="FP2" i="50"/>
  <c r="FQ2" i="50"/>
  <c r="FR2" i="50"/>
  <c r="FS2" i="50"/>
  <c r="FT2" i="50"/>
  <c r="FU2" i="50"/>
  <c r="FV2" i="50"/>
  <c r="FW2" i="50"/>
  <c r="FX2" i="50"/>
  <c r="FY2" i="50"/>
  <c r="FZ2" i="50"/>
  <c r="GA2" i="50"/>
  <c r="GB2" i="50"/>
  <c r="GC2" i="50"/>
  <c r="GD2" i="50"/>
  <c r="GE2" i="50"/>
  <c r="GF2" i="50"/>
  <c r="GG2" i="50"/>
  <c r="GH2" i="50"/>
  <c r="GI2" i="50"/>
  <c r="GJ2" i="50"/>
  <c r="GK2" i="50"/>
  <c r="GL2" i="50"/>
  <c r="GM2" i="50"/>
  <c r="GN2" i="50"/>
  <c r="GO2" i="50"/>
  <c r="GP2" i="50"/>
  <c r="GQ2" i="50"/>
  <c r="GR2" i="50"/>
  <c r="GS2" i="50"/>
  <c r="GT2" i="50"/>
  <c r="GU2" i="50"/>
  <c r="GV2" i="50"/>
  <c r="GW2" i="50"/>
  <c r="GX2" i="50"/>
  <c r="GY2" i="50"/>
  <c r="GZ2" i="50"/>
  <c r="HA2" i="50"/>
  <c r="HB2" i="50"/>
  <c r="HC2" i="50"/>
  <c r="HD2" i="50"/>
  <c r="HE2" i="50"/>
  <c r="HF2" i="50"/>
  <c r="HG2" i="50"/>
  <c r="HH2" i="50"/>
  <c r="HI2" i="50"/>
  <c r="HJ2" i="50"/>
  <c r="HK2" i="50"/>
  <c r="HL2" i="50"/>
  <c r="HM2" i="50"/>
  <c r="HN2" i="50"/>
  <c r="HO2" i="50"/>
  <c r="HP2" i="50"/>
  <c r="HQ2" i="50"/>
  <c r="HR2" i="50"/>
  <c r="HS2" i="50"/>
  <c r="HT2" i="50"/>
  <c r="HU2" i="50"/>
  <c r="HV2" i="50"/>
  <c r="HW2" i="50"/>
  <c r="HX2" i="50"/>
  <c r="HY2" i="50"/>
  <c r="HZ2" i="50"/>
  <c r="IA2" i="50"/>
  <c r="IB2" i="50"/>
  <c r="IC2" i="50"/>
  <c r="ID2" i="50"/>
  <c r="IE2" i="50"/>
  <c r="IF2" i="50"/>
  <c r="IG2" i="50"/>
  <c r="IH2" i="50"/>
  <c r="II2" i="50"/>
  <c r="IJ2" i="50"/>
  <c r="IK2" i="50"/>
  <c r="IL2" i="50"/>
  <c r="IM2" i="50"/>
  <c r="IN2" i="50"/>
  <c r="IO2" i="50"/>
  <c r="IP2" i="50"/>
  <c r="IQ2" i="50"/>
  <c r="IR2" i="50"/>
  <c r="IS2" i="50"/>
  <c r="IT2" i="50"/>
  <c r="IU2" i="50"/>
  <c r="IV2" i="50"/>
  <c r="F3" i="50"/>
  <c r="G3" i="50"/>
  <c r="H3" i="50"/>
  <c r="I3" i="50"/>
  <c r="J3" i="50"/>
  <c r="K3" i="50"/>
  <c r="L3" i="50"/>
  <c r="M3" i="50"/>
  <c r="N3" i="50"/>
  <c r="O3" i="50"/>
  <c r="P3" i="50"/>
  <c r="Q3" i="50"/>
  <c r="R3" i="50"/>
  <c r="S3" i="50"/>
  <c r="T3" i="50"/>
  <c r="U3" i="50"/>
  <c r="V3" i="50"/>
  <c r="W3" i="50"/>
  <c r="X3" i="50"/>
  <c r="Y3" i="50"/>
  <c r="Z3" i="50"/>
  <c r="AA3" i="50"/>
  <c r="AB3" i="50"/>
  <c r="AC3" i="50"/>
  <c r="AD3" i="50"/>
  <c r="AE3" i="50"/>
  <c r="AF3" i="50"/>
  <c r="AG3" i="50"/>
  <c r="AH3" i="50"/>
  <c r="AI3" i="50"/>
  <c r="AJ3" i="50"/>
  <c r="AK3" i="50"/>
  <c r="AL3" i="50"/>
  <c r="AM3" i="50"/>
  <c r="AN3" i="50"/>
  <c r="AO3" i="50"/>
  <c r="AP3" i="50"/>
  <c r="AQ3" i="50"/>
  <c r="AR3" i="50"/>
  <c r="AS3" i="50"/>
  <c r="AT3" i="50"/>
  <c r="AU3" i="50"/>
  <c r="AV3" i="50"/>
  <c r="AW3" i="50"/>
  <c r="AX3" i="50"/>
  <c r="AY3" i="50"/>
  <c r="AZ3" i="50"/>
  <c r="BA3" i="50"/>
  <c r="BB3" i="50"/>
  <c r="BC3" i="50"/>
  <c r="BD3" i="50"/>
  <c r="BE3" i="50"/>
  <c r="BF3" i="50"/>
  <c r="BG3" i="50"/>
  <c r="BH3" i="50"/>
  <c r="BI3" i="50"/>
  <c r="BJ3" i="50"/>
  <c r="BK3" i="50"/>
  <c r="BL3" i="50"/>
  <c r="BM3" i="50"/>
  <c r="BN3" i="50"/>
  <c r="BO3" i="50"/>
  <c r="BP3" i="50"/>
  <c r="BQ3" i="50"/>
  <c r="BR3" i="50"/>
  <c r="BS3" i="50"/>
  <c r="BT3" i="50"/>
  <c r="BU3" i="50"/>
  <c r="BV3" i="50"/>
  <c r="BW3" i="50"/>
  <c r="BX3" i="50"/>
  <c r="BY3" i="50"/>
  <c r="BZ3" i="50"/>
  <c r="CA3" i="50"/>
  <c r="CB3" i="50"/>
  <c r="CC3" i="50"/>
  <c r="CD3" i="50"/>
  <c r="CE3" i="50"/>
  <c r="CF3" i="50"/>
  <c r="CG3" i="50"/>
  <c r="CH3" i="50"/>
  <c r="CI3" i="50"/>
  <c r="CJ3" i="50"/>
  <c r="CK3" i="50"/>
  <c r="CL3" i="50"/>
  <c r="CM3" i="50"/>
  <c r="CN3" i="50"/>
  <c r="CO3" i="50"/>
  <c r="CP3" i="50"/>
  <c r="CQ3" i="50"/>
  <c r="CR3" i="50"/>
  <c r="CS3" i="50"/>
  <c r="CT3" i="50"/>
  <c r="CU3" i="50"/>
  <c r="CV3" i="50"/>
  <c r="CW3" i="50"/>
  <c r="CX3" i="50"/>
  <c r="CY3" i="50"/>
  <c r="CZ3" i="50"/>
  <c r="DA3" i="50"/>
  <c r="DB3" i="50"/>
  <c r="DC3" i="50"/>
  <c r="DD3" i="50"/>
  <c r="DE3" i="50"/>
  <c r="DF3" i="50"/>
  <c r="DG3" i="50"/>
  <c r="DH3" i="50"/>
  <c r="DI3" i="50"/>
  <c r="DJ3" i="50"/>
  <c r="DK3" i="50"/>
  <c r="DL3" i="50"/>
  <c r="DM3" i="50"/>
  <c r="DN3" i="50"/>
  <c r="DO3" i="50"/>
  <c r="DP3" i="50"/>
  <c r="DQ3" i="50"/>
  <c r="DR3" i="50"/>
  <c r="DS3" i="50"/>
  <c r="DT3" i="50"/>
  <c r="DU3" i="50"/>
  <c r="DV3" i="50"/>
  <c r="DW3" i="50"/>
  <c r="DX3" i="50"/>
  <c r="DY3" i="50"/>
  <c r="DZ3" i="50"/>
  <c r="EA3" i="50"/>
  <c r="EB3" i="50"/>
  <c r="EC3" i="50"/>
  <c r="ED3" i="50"/>
  <c r="EE3" i="50"/>
  <c r="EF3" i="50"/>
  <c r="EG3" i="50"/>
  <c r="EH3" i="50"/>
  <c r="EI3" i="50"/>
  <c r="EJ3" i="50"/>
  <c r="EK3" i="50"/>
  <c r="EL3" i="50"/>
  <c r="EM3" i="50"/>
  <c r="EN3" i="50"/>
  <c r="EO3" i="50"/>
  <c r="EP3" i="50"/>
  <c r="EQ3" i="50"/>
  <c r="ER3" i="50"/>
  <c r="ES3" i="50"/>
  <c r="ET3" i="50"/>
  <c r="EU3" i="50"/>
  <c r="EV3" i="50"/>
  <c r="EW3" i="50"/>
  <c r="EX3" i="50"/>
  <c r="EY3" i="50"/>
  <c r="EZ3" i="50"/>
  <c r="FA3" i="50"/>
  <c r="FB3" i="50"/>
  <c r="FC3" i="50"/>
  <c r="FD3" i="50"/>
  <c r="FE3" i="50"/>
  <c r="FF3" i="50"/>
  <c r="FG3" i="50"/>
  <c r="FH3" i="50"/>
  <c r="FI3" i="50"/>
  <c r="FJ3" i="50"/>
  <c r="FK3" i="50"/>
  <c r="FL3" i="50"/>
  <c r="FM3" i="50"/>
  <c r="FN3" i="50"/>
  <c r="FO3" i="50"/>
  <c r="FP3" i="50"/>
  <c r="FQ3" i="50"/>
  <c r="FR3" i="50"/>
  <c r="FS3" i="50"/>
  <c r="FT3" i="50"/>
  <c r="FU3" i="50"/>
  <c r="FV3" i="50"/>
  <c r="FW3" i="50"/>
  <c r="FX3" i="50"/>
  <c r="FY3" i="50"/>
  <c r="FZ3" i="50"/>
  <c r="GA3" i="50"/>
  <c r="GB3" i="50"/>
  <c r="GC3" i="50"/>
  <c r="GD3" i="50"/>
  <c r="GE3" i="50"/>
  <c r="GF3" i="50"/>
  <c r="GG3" i="50"/>
  <c r="GH3" i="50"/>
  <c r="GI3" i="50"/>
  <c r="GJ3" i="50"/>
  <c r="GK3" i="50"/>
  <c r="GL3" i="50"/>
  <c r="GM3" i="50"/>
  <c r="GN3" i="50"/>
  <c r="GO3" i="50"/>
  <c r="GP3" i="50"/>
  <c r="GQ3" i="50"/>
  <c r="GR3" i="50"/>
  <c r="GS3" i="50"/>
  <c r="GT3" i="50"/>
  <c r="GU3" i="50"/>
  <c r="GV3" i="50"/>
  <c r="GW3" i="50"/>
  <c r="GX3" i="50"/>
  <c r="GY3" i="50"/>
  <c r="GZ3" i="50"/>
  <c r="HA3" i="50"/>
  <c r="HB3" i="50"/>
  <c r="HC3" i="50"/>
  <c r="HD3" i="50"/>
  <c r="HE3" i="50"/>
  <c r="HF3" i="50"/>
  <c r="HG3" i="50"/>
  <c r="HH3" i="50"/>
  <c r="HI3" i="50"/>
  <c r="HJ3" i="50"/>
  <c r="HK3" i="50"/>
  <c r="HL3" i="50"/>
  <c r="HM3" i="50"/>
  <c r="HN3" i="50"/>
  <c r="HO3" i="50"/>
  <c r="HP3" i="50"/>
  <c r="HQ3" i="50"/>
  <c r="HR3" i="50"/>
  <c r="HS3" i="50"/>
  <c r="HT3" i="50"/>
  <c r="HU3" i="50"/>
  <c r="HV3" i="50"/>
  <c r="HW3" i="50"/>
  <c r="HX3" i="50"/>
  <c r="HY3" i="50"/>
  <c r="HZ3" i="50"/>
  <c r="IA3" i="50"/>
  <c r="IB3" i="50"/>
  <c r="IC3" i="50"/>
  <c r="ID3" i="50"/>
  <c r="IE3" i="50"/>
  <c r="IF3" i="50"/>
  <c r="IG3" i="50"/>
  <c r="IH3" i="50"/>
  <c r="II3" i="50"/>
  <c r="IJ3" i="50"/>
  <c r="IK3" i="50"/>
  <c r="IL3" i="50"/>
  <c r="IM3" i="50"/>
  <c r="IN3" i="50"/>
  <c r="IO3" i="50"/>
  <c r="IP3" i="50"/>
  <c r="IQ3" i="50"/>
  <c r="IR3" i="50"/>
  <c r="IS3" i="50"/>
  <c r="IT3" i="50"/>
  <c r="IU3" i="50"/>
  <c r="IV3" i="50"/>
  <c r="F4" i="50"/>
  <c r="G4" i="50"/>
  <c r="H4" i="50"/>
  <c r="I4" i="50"/>
  <c r="J4" i="50"/>
  <c r="K4" i="50"/>
  <c r="L4" i="50"/>
  <c r="M4" i="50"/>
  <c r="N4" i="50"/>
  <c r="O4" i="50"/>
  <c r="P4" i="50"/>
  <c r="Q4" i="50"/>
  <c r="R4" i="50"/>
  <c r="S4" i="50"/>
  <c r="T4" i="50"/>
  <c r="U4" i="50"/>
  <c r="V4" i="50"/>
  <c r="W4" i="50"/>
  <c r="X4" i="50"/>
  <c r="Y4" i="50"/>
  <c r="Z4" i="50"/>
  <c r="AA4" i="50"/>
  <c r="AB4" i="50"/>
  <c r="AC4" i="50"/>
  <c r="AD4" i="50"/>
  <c r="AE4" i="50"/>
  <c r="AF4" i="50"/>
  <c r="AG4" i="50"/>
  <c r="AH4" i="50"/>
  <c r="AI4" i="50"/>
  <c r="AJ4" i="50"/>
  <c r="AK4" i="50"/>
  <c r="AL4" i="50"/>
  <c r="AM4" i="50"/>
  <c r="AN4" i="50"/>
  <c r="AO4" i="50"/>
  <c r="AP4" i="50"/>
  <c r="AQ4" i="50"/>
  <c r="AR4" i="50"/>
  <c r="AS4" i="50"/>
  <c r="AT4" i="50"/>
  <c r="AU4" i="50"/>
  <c r="AV4" i="50"/>
  <c r="AW4" i="50"/>
  <c r="AX4" i="50"/>
  <c r="AY4" i="50"/>
  <c r="AZ4" i="50"/>
  <c r="BA4" i="50"/>
  <c r="BB4" i="50"/>
  <c r="BC4" i="50"/>
  <c r="BD4" i="50"/>
  <c r="BE4" i="50"/>
  <c r="BF4" i="50"/>
  <c r="BG4" i="50"/>
  <c r="BH4" i="50"/>
  <c r="BI4" i="50"/>
  <c r="BJ4" i="50"/>
  <c r="BK4" i="50"/>
  <c r="BL4" i="50"/>
  <c r="BM4" i="50"/>
  <c r="BN4" i="50"/>
  <c r="BO4" i="50"/>
  <c r="BP4" i="50"/>
  <c r="BQ4" i="50"/>
  <c r="BR4" i="50"/>
  <c r="BS4" i="50"/>
  <c r="BT4" i="50"/>
  <c r="BU4" i="50"/>
  <c r="BV4" i="50"/>
  <c r="BW4" i="50"/>
  <c r="BX4" i="50"/>
  <c r="BY4" i="50"/>
  <c r="BZ4" i="50"/>
  <c r="CA4" i="50"/>
  <c r="CB4" i="50"/>
  <c r="CC4" i="50"/>
  <c r="CD4" i="50"/>
  <c r="CE4" i="50"/>
  <c r="CF4" i="50"/>
  <c r="CG4" i="50"/>
  <c r="CH4" i="50"/>
  <c r="CI4" i="50"/>
  <c r="CJ4" i="50"/>
  <c r="CK4" i="50"/>
  <c r="CL4" i="50"/>
  <c r="CM4" i="50"/>
  <c r="CN4" i="50"/>
  <c r="CO4" i="50"/>
  <c r="CP4" i="50"/>
  <c r="CQ4" i="50"/>
  <c r="CR4" i="50"/>
  <c r="CS4" i="50"/>
  <c r="CT4" i="50"/>
  <c r="CU4" i="50"/>
  <c r="CV4" i="50"/>
  <c r="CW4" i="50"/>
  <c r="CX4" i="50"/>
  <c r="CY4" i="50"/>
  <c r="CZ4" i="50"/>
  <c r="DA4" i="50"/>
  <c r="DB4" i="50"/>
  <c r="DC4" i="50"/>
  <c r="DD4" i="50"/>
  <c r="DE4" i="50"/>
  <c r="DF4" i="50"/>
  <c r="DG4" i="50"/>
  <c r="DH4" i="50"/>
  <c r="DI4" i="50"/>
  <c r="DJ4" i="50"/>
  <c r="DK4" i="50"/>
  <c r="DL4" i="50"/>
  <c r="DM4" i="50"/>
  <c r="DN4" i="50"/>
  <c r="DO4" i="50"/>
  <c r="DP4" i="50"/>
  <c r="DQ4" i="50"/>
  <c r="DR4" i="50"/>
  <c r="DS4" i="50"/>
  <c r="DT4" i="50"/>
  <c r="DU4" i="50"/>
  <c r="DV4" i="50"/>
  <c r="DW4" i="50"/>
  <c r="DX4" i="50"/>
  <c r="DY4" i="50"/>
  <c r="DZ4" i="50"/>
  <c r="EA4" i="50"/>
  <c r="EB4" i="50"/>
  <c r="EC4" i="50"/>
  <c r="ED4" i="50"/>
  <c r="EE4" i="50"/>
  <c r="EF4" i="50"/>
  <c r="EG4" i="50"/>
  <c r="EH4" i="50"/>
  <c r="EI4" i="50"/>
  <c r="EJ4" i="50"/>
  <c r="EK4" i="50"/>
  <c r="EL4" i="50"/>
  <c r="EM4" i="50"/>
  <c r="EN4" i="50"/>
  <c r="EO4" i="50"/>
  <c r="EP4" i="50"/>
  <c r="EQ4" i="50"/>
  <c r="ER4" i="50"/>
  <c r="ES4" i="50"/>
  <c r="ET4" i="50"/>
  <c r="EU4" i="50"/>
  <c r="EV4" i="50"/>
  <c r="EW4" i="50"/>
  <c r="EX4" i="50"/>
  <c r="EY4" i="50"/>
  <c r="EZ4" i="50"/>
  <c r="FA4" i="50"/>
  <c r="FB4" i="50"/>
  <c r="FC4" i="50"/>
  <c r="FD4" i="50"/>
  <c r="FE4" i="50"/>
  <c r="FF4" i="50"/>
  <c r="FG4" i="50"/>
  <c r="FH4" i="50"/>
  <c r="FI4" i="50"/>
  <c r="FJ4" i="50"/>
  <c r="FK4" i="50"/>
  <c r="FL4" i="50"/>
  <c r="FM4" i="50"/>
  <c r="FN4" i="50"/>
  <c r="FO4" i="50"/>
  <c r="FP4" i="50"/>
  <c r="FQ4" i="50"/>
  <c r="FR4" i="50"/>
  <c r="FS4" i="50"/>
  <c r="FT4" i="50"/>
  <c r="FU4" i="50"/>
  <c r="FV4" i="50"/>
  <c r="FW4" i="50"/>
  <c r="FX4" i="50"/>
  <c r="FY4" i="50"/>
  <c r="FZ4" i="50"/>
  <c r="GA4" i="50"/>
  <c r="GB4" i="50"/>
  <c r="GC4" i="50"/>
  <c r="GD4" i="50"/>
  <c r="GE4" i="50"/>
  <c r="GF4" i="50"/>
  <c r="GG4" i="50"/>
  <c r="GH4" i="50"/>
  <c r="GI4" i="50"/>
  <c r="GJ4" i="50"/>
  <c r="GK4" i="50"/>
  <c r="GL4" i="50"/>
  <c r="GM4" i="50"/>
  <c r="GN4" i="50"/>
  <c r="GO4" i="50"/>
  <c r="GP4" i="50"/>
  <c r="GQ4" i="50"/>
  <c r="GR4" i="50"/>
  <c r="GS4" i="50"/>
  <c r="GT4" i="50"/>
  <c r="GU4" i="50"/>
  <c r="GV4" i="50"/>
  <c r="GW4" i="50"/>
  <c r="GX4" i="50"/>
  <c r="GY4" i="50"/>
  <c r="GZ4" i="50"/>
  <c r="HA4" i="50"/>
  <c r="HB4" i="50"/>
  <c r="HC4" i="50"/>
  <c r="HD4" i="50"/>
  <c r="HE4" i="50"/>
  <c r="HF4" i="50"/>
  <c r="HG4" i="50"/>
  <c r="HH4" i="50"/>
  <c r="HI4" i="50"/>
  <c r="HJ4" i="50"/>
  <c r="HK4" i="50"/>
  <c r="HL4" i="50"/>
  <c r="HM4" i="50"/>
  <c r="HN4" i="50"/>
  <c r="HO4" i="50"/>
  <c r="HP4" i="50"/>
  <c r="HQ4" i="50"/>
  <c r="HR4" i="50"/>
  <c r="HS4" i="50"/>
  <c r="HT4" i="50"/>
  <c r="HU4" i="50"/>
  <c r="HV4" i="50"/>
  <c r="HW4" i="50"/>
  <c r="HX4" i="50"/>
  <c r="HY4" i="50"/>
  <c r="HZ4" i="50"/>
  <c r="IA4" i="50"/>
  <c r="IB4" i="50"/>
  <c r="IC4" i="50"/>
  <c r="ID4" i="50"/>
  <c r="IE4" i="50"/>
  <c r="IF4" i="50"/>
  <c r="IG4" i="50"/>
  <c r="IH4" i="50"/>
  <c r="II4" i="50"/>
  <c r="IJ4" i="50"/>
  <c r="IK4" i="50"/>
  <c r="IL4" i="50"/>
  <c r="IM4" i="50"/>
  <c r="IN4" i="50"/>
  <c r="IO4" i="50"/>
  <c r="IP4" i="50"/>
  <c r="IQ4" i="50"/>
  <c r="IR4" i="50"/>
  <c r="IS4" i="50"/>
  <c r="IT4" i="50"/>
  <c r="IU4" i="50"/>
  <c r="IV4" i="50"/>
  <c r="F5" i="50"/>
  <c r="G5" i="50"/>
  <c r="H5" i="50"/>
  <c r="I5" i="50"/>
  <c r="J5" i="50"/>
  <c r="K5" i="50"/>
  <c r="L5" i="50"/>
  <c r="M5" i="50"/>
  <c r="N5" i="50"/>
  <c r="O5" i="50"/>
  <c r="P5" i="50"/>
  <c r="Q5" i="50"/>
  <c r="R5" i="50"/>
  <c r="S5" i="50"/>
  <c r="T5" i="50"/>
  <c r="U5" i="50"/>
  <c r="V5" i="50"/>
  <c r="W5" i="50"/>
  <c r="X5" i="50"/>
  <c r="Y5" i="50"/>
  <c r="Z5" i="50"/>
  <c r="AA5" i="50"/>
  <c r="AB5" i="50"/>
  <c r="AC5" i="50"/>
  <c r="AD5" i="50"/>
  <c r="AE5" i="50"/>
  <c r="AF5" i="50"/>
  <c r="AG5" i="50"/>
  <c r="AH5" i="50"/>
  <c r="AI5" i="50"/>
  <c r="AJ5" i="50"/>
  <c r="AK5" i="50"/>
  <c r="AL5" i="50"/>
  <c r="AM5" i="50"/>
  <c r="AN5" i="50"/>
  <c r="AO5" i="50"/>
  <c r="AP5" i="50"/>
  <c r="AQ5" i="50"/>
  <c r="AR5" i="50"/>
  <c r="AS5" i="50"/>
  <c r="AT5" i="50"/>
  <c r="AU5" i="50"/>
  <c r="AV5" i="50"/>
  <c r="AW5" i="50"/>
  <c r="AX5" i="50"/>
  <c r="AY5" i="50"/>
  <c r="AZ5" i="50"/>
  <c r="BA5" i="50"/>
  <c r="BB5" i="50"/>
  <c r="BC5" i="50"/>
  <c r="BD5" i="50"/>
  <c r="BE5" i="50"/>
  <c r="BF5" i="50"/>
  <c r="BG5" i="50"/>
  <c r="BH5" i="50"/>
  <c r="BI5" i="50"/>
  <c r="BJ5" i="50"/>
  <c r="BK5" i="50"/>
  <c r="BL5" i="50"/>
  <c r="BM5" i="50"/>
  <c r="BN5" i="50"/>
  <c r="BO5" i="50"/>
  <c r="BP5" i="50"/>
  <c r="BQ5" i="50"/>
  <c r="BR5" i="50"/>
  <c r="BS5" i="50"/>
  <c r="BT5" i="50"/>
  <c r="BU5" i="50"/>
  <c r="BV5" i="50"/>
  <c r="BW5" i="50"/>
  <c r="BX5" i="50"/>
  <c r="BY5" i="50"/>
  <c r="BZ5" i="50"/>
  <c r="CA5" i="50"/>
  <c r="CB5" i="50"/>
  <c r="CC5" i="50"/>
  <c r="CD5" i="50"/>
  <c r="CE5" i="50"/>
  <c r="CF5" i="50"/>
  <c r="CG5" i="50"/>
  <c r="CH5" i="50"/>
  <c r="CI5" i="50"/>
  <c r="CJ5" i="50"/>
  <c r="CK5" i="50"/>
  <c r="CL5" i="50"/>
  <c r="CM5" i="50"/>
  <c r="CN5" i="50"/>
  <c r="CO5" i="50"/>
  <c r="CP5" i="50"/>
  <c r="CQ5" i="50"/>
  <c r="CR5" i="50"/>
  <c r="CS5" i="50"/>
  <c r="CT5" i="50"/>
  <c r="CU5" i="50"/>
  <c r="CV5" i="50"/>
  <c r="CW5" i="50"/>
  <c r="CX5" i="50"/>
  <c r="CY5" i="50"/>
  <c r="CZ5" i="50"/>
  <c r="DA5" i="50"/>
  <c r="DB5" i="50"/>
  <c r="DC5" i="50"/>
  <c r="DD5" i="50"/>
  <c r="DE5" i="50"/>
  <c r="DF5" i="50"/>
  <c r="DG5" i="50"/>
  <c r="DH5" i="50"/>
  <c r="DI5" i="50"/>
  <c r="DJ5" i="50"/>
  <c r="DK5" i="50"/>
  <c r="DL5" i="50"/>
  <c r="DM5" i="50"/>
  <c r="DN5" i="50"/>
  <c r="DO5" i="50"/>
  <c r="DP5" i="50"/>
  <c r="DQ5" i="50"/>
  <c r="DR5" i="50"/>
  <c r="DS5" i="50"/>
  <c r="DT5" i="50"/>
  <c r="DU5" i="50"/>
  <c r="DV5" i="50"/>
  <c r="DW5" i="50"/>
  <c r="DX5" i="50"/>
  <c r="DY5" i="50"/>
  <c r="DZ5" i="50"/>
  <c r="EA5" i="50"/>
  <c r="EB5" i="50"/>
  <c r="EC5" i="50"/>
  <c r="ED5" i="50"/>
  <c r="EE5" i="50"/>
  <c r="EF5" i="50"/>
  <c r="EG5" i="50"/>
  <c r="EH5" i="50"/>
  <c r="EI5" i="50"/>
  <c r="EJ5" i="50"/>
  <c r="EK5" i="50"/>
  <c r="EL5" i="50"/>
  <c r="EM5" i="50"/>
  <c r="EN5" i="50"/>
  <c r="EO5" i="50"/>
  <c r="EP5" i="50"/>
  <c r="EQ5" i="50"/>
  <c r="ER5" i="50"/>
  <c r="ES5" i="50"/>
  <c r="ET5" i="50"/>
  <c r="EU5" i="50"/>
  <c r="EV5" i="50"/>
  <c r="EW5" i="50"/>
  <c r="EX5" i="50"/>
  <c r="EY5" i="50"/>
  <c r="EZ5" i="50"/>
  <c r="FA5" i="50"/>
  <c r="FB5" i="50"/>
  <c r="FC5" i="50"/>
  <c r="FD5" i="50"/>
  <c r="FE5" i="50"/>
  <c r="FF5" i="50"/>
  <c r="FG5" i="50"/>
  <c r="FH5" i="50"/>
  <c r="FI5" i="50"/>
  <c r="FJ5" i="50"/>
  <c r="FK5" i="50"/>
  <c r="FL5" i="50"/>
  <c r="FM5" i="50"/>
  <c r="FN5" i="50"/>
  <c r="FO5" i="50"/>
  <c r="FP5" i="50"/>
  <c r="FQ5" i="50"/>
  <c r="FR5" i="50"/>
  <c r="FS5" i="50"/>
  <c r="FT5" i="50"/>
  <c r="FU5" i="50"/>
  <c r="FV5" i="50"/>
  <c r="FW5" i="50"/>
  <c r="FX5" i="50"/>
  <c r="FY5" i="50"/>
  <c r="FZ5" i="50"/>
  <c r="GA5" i="50"/>
  <c r="GB5" i="50"/>
  <c r="GC5" i="50"/>
  <c r="GD5" i="50"/>
  <c r="GE5" i="50"/>
  <c r="GF5" i="50"/>
  <c r="GG5" i="50"/>
  <c r="GH5" i="50"/>
  <c r="GI5" i="50"/>
  <c r="GJ5" i="50"/>
  <c r="GK5" i="50"/>
  <c r="GL5" i="50"/>
  <c r="GM5" i="50"/>
  <c r="GN5" i="50"/>
  <c r="GO5" i="50"/>
  <c r="GP5" i="50"/>
  <c r="GQ5" i="50"/>
  <c r="GR5" i="50"/>
  <c r="GS5" i="50"/>
  <c r="GT5" i="50"/>
  <c r="GU5" i="50"/>
  <c r="GV5" i="50"/>
  <c r="GW5" i="50"/>
  <c r="GX5" i="50"/>
  <c r="GY5" i="50"/>
  <c r="GZ5" i="50"/>
  <c r="HA5" i="50"/>
  <c r="HB5" i="50"/>
  <c r="HC5" i="50"/>
  <c r="HD5" i="50"/>
  <c r="HE5" i="50"/>
  <c r="HF5" i="50"/>
  <c r="HG5" i="50"/>
  <c r="HH5" i="50"/>
  <c r="HI5" i="50"/>
  <c r="HJ5" i="50"/>
  <c r="HK5" i="50"/>
  <c r="HL5" i="50"/>
  <c r="HM5" i="50"/>
  <c r="HN5" i="50"/>
  <c r="HO5" i="50"/>
  <c r="HP5" i="50"/>
  <c r="HQ5" i="50"/>
  <c r="HR5" i="50"/>
  <c r="HS5" i="50"/>
  <c r="HT5" i="50"/>
  <c r="HU5" i="50"/>
  <c r="HV5" i="50"/>
  <c r="HW5" i="50"/>
  <c r="HX5" i="50"/>
  <c r="HY5" i="50"/>
  <c r="HZ5" i="50"/>
  <c r="IA5" i="50"/>
  <c r="IB5" i="50"/>
  <c r="IC5" i="50"/>
  <c r="ID5" i="50"/>
  <c r="IE5" i="50"/>
  <c r="IF5" i="50"/>
  <c r="IG5" i="50"/>
  <c r="IH5" i="50"/>
  <c r="II5" i="50"/>
  <c r="IJ5" i="50"/>
  <c r="IK5" i="50"/>
  <c r="IL5" i="50"/>
  <c r="IM5" i="50"/>
  <c r="IN5" i="50"/>
  <c r="IO5" i="50"/>
  <c r="IP5" i="50"/>
  <c r="IQ5" i="50"/>
  <c r="IR5" i="50"/>
  <c r="IS5" i="50"/>
  <c r="IT5" i="50"/>
  <c r="IU5" i="50"/>
  <c r="IV5" i="50"/>
  <c r="F6" i="50"/>
  <c r="G6" i="50"/>
  <c r="H6" i="50"/>
  <c r="I6" i="50"/>
  <c r="J6" i="50"/>
  <c r="K6" i="50"/>
  <c r="L6" i="50"/>
  <c r="M6" i="50"/>
  <c r="N6" i="50"/>
  <c r="O6" i="50"/>
  <c r="P6" i="50"/>
  <c r="Q6" i="50"/>
  <c r="R6" i="50"/>
  <c r="S6" i="50"/>
  <c r="T6" i="50"/>
  <c r="U6" i="50"/>
  <c r="V6" i="50"/>
  <c r="W6" i="50"/>
  <c r="X6" i="50"/>
  <c r="Y6" i="50"/>
  <c r="Z6" i="50"/>
  <c r="AA6" i="50"/>
  <c r="AB6" i="50"/>
  <c r="AC6" i="50"/>
  <c r="AD6" i="50"/>
  <c r="AE6" i="50"/>
  <c r="AF6" i="50"/>
  <c r="AG6" i="50"/>
  <c r="AH6" i="50"/>
  <c r="AI6" i="50"/>
  <c r="AJ6" i="50"/>
  <c r="AK6" i="50"/>
  <c r="AL6" i="50"/>
  <c r="AM6" i="50"/>
  <c r="AN6" i="50"/>
  <c r="AO6" i="50"/>
  <c r="AP6" i="50"/>
  <c r="AQ6" i="50"/>
  <c r="AR6" i="50"/>
  <c r="AS6" i="50"/>
  <c r="AT6" i="50"/>
  <c r="AU6" i="50"/>
  <c r="AV6" i="50"/>
  <c r="AW6" i="50"/>
  <c r="AX6" i="50"/>
  <c r="AY6" i="50"/>
  <c r="AZ6" i="50"/>
  <c r="BA6" i="50"/>
  <c r="BB6" i="50"/>
  <c r="BC6" i="50"/>
  <c r="BD6" i="50"/>
  <c r="BE6" i="50"/>
  <c r="BF6" i="50"/>
  <c r="BG6" i="50"/>
  <c r="BH6" i="50"/>
  <c r="BI6" i="50"/>
  <c r="BJ6" i="50"/>
  <c r="BK6" i="50"/>
  <c r="BL6" i="50"/>
  <c r="BM6" i="50"/>
  <c r="BN6" i="50"/>
  <c r="BO6" i="50"/>
  <c r="BP6" i="50"/>
  <c r="BQ6" i="50"/>
  <c r="BR6" i="50"/>
  <c r="BS6" i="50"/>
  <c r="BT6" i="50"/>
  <c r="BU6" i="50"/>
  <c r="BV6" i="50"/>
  <c r="BW6" i="50"/>
  <c r="BX6" i="50"/>
  <c r="BY6" i="50"/>
  <c r="BZ6" i="50"/>
  <c r="CA6" i="50"/>
  <c r="CB6" i="50"/>
  <c r="CC6" i="50"/>
  <c r="CD6" i="50"/>
  <c r="CE6" i="50"/>
  <c r="CF6" i="50"/>
  <c r="CG6" i="50"/>
  <c r="CH6" i="50"/>
  <c r="CI6" i="50"/>
  <c r="CJ6" i="50"/>
  <c r="CK6" i="50"/>
  <c r="CL6" i="50"/>
  <c r="CM6" i="50"/>
  <c r="CN6" i="50"/>
  <c r="CO6" i="50"/>
  <c r="CP6" i="50"/>
  <c r="CQ6" i="50"/>
  <c r="CR6" i="50"/>
  <c r="CS6" i="50"/>
  <c r="CT6" i="50"/>
  <c r="CU6" i="50"/>
  <c r="CV6" i="50"/>
  <c r="CW6" i="50"/>
  <c r="CX6" i="50"/>
  <c r="CY6" i="50"/>
  <c r="CZ6" i="50"/>
  <c r="DA6" i="50"/>
  <c r="DB6" i="50"/>
  <c r="DC6" i="50"/>
  <c r="DD6" i="50"/>
  <c r="DE6" i="50"/>
  <c r="DF6" i="50"/>
  <c r="DG6" i="50"/>
  <c r="DH6" i="50"/>
  <c r="DI6" i="50"/>
  <c r="DJ6" i="50"/>
  <c r="DK6" i="50"/>
  <c r="DL6" i="50"/>
  <c r="DM6" i="50"/>
  <c r="DN6" i="50"/>
  <c r="DO6" i="50"/>
  <c r="DP6" i="50"/>
  <c r="DQ6" i="50"/>
  <c r="DR6" i="50"/>
  <c r="DS6" i="50"/>
  <c r="DT6" i="50"/>
  <c r="DU6" i="50"/>
  <c r="DV6" i="50"/>
  <c r="DW6" i="50"/>
  <c r="DX6" i="50"/>
  <c r="DY6" i="50"/>
  <c r="DZ6" i="50"/>
  <c r="EA6" i="50"/>
  <c r="EB6" i="50"/>
  <c r="EC6" i="50"/>
  <c r="ED6" i="50"/>
  <c r="EE6" i="50"/>
  <c r="EF6" i="50"/>
  <c r="EG6" i="50"/>
  <c r="EH6" i="50"/>
  <c r="EI6" i="50"/>
  <c r="EJ6" i="50"/>
  <c r="EK6" i="50"/>
  <c r="EL6" i="50"/>
  <c r="EM6" i="50"/>
  <c r="EN6" i="50"/>
  <c r="EO6" i="50"/>
  <c r="EP6" i="50"/>
  <c r="EQ6" i="50"/>
  <c r="ER6" i="50"/>
  <c r="ES6" i="50"/>
  <c r="ET6" i="50"/>
  <c r="EU6" i="50"/>
  <c r="EV6" i="50"/>
  <c r="EW6" i="50"/>
  <c r="EX6" i="50"/>
  <c r="EY6" i="50"/>
  <c r="EZ6" i="50"/>
  <c r="FA6" i="50"/>
  <c r="FB6" i="50"/>
  <c r="FC6" i="50"/>
  <c r="FD6" i="50"/>
  <c r="FE6" i="50"/>
  <c r="FF6" i="50"/>
  <c r="FG6" i="50"/>
  <c r="FH6" i="50"/>
  <c r="FI6" i="50"/>
  <c r="FJ6" i="50"/>
  <c r="FK6" i="50"/>
  <c r="FL6" i="50"/>
  <c r="FM6" i="50"/>
  <c r="FN6" i="50"/>
  <c r="FO6" i="50"/>
  <c r="FP6" i="50"/>
  <c r="FQ6" i="50"/>
  <c r="FR6" i="50"/>
  <c r="FS6" i="50"/>
  <c r="FT6" i="50"/>
  <c r="FU6" i="50"/>
  <c r="FV6" i="50"/>
  <c r="FW6" i="50"/>
  <c r="FX6" i="50"/>
  <c r="FY6" i="50"/>
  <c r="FZ6" i="50"/>
  <c r="GA6" i="50"/>
  <c r="GB6" i="50"/>
  <c r="GC6" i="50"/>
  <c r="GD6" i="50"/>
  <c r="GE6" i="50"/>
  <c r="GF6" i="50"/>
  <c r="GG6" i="50"/>
  <c r="GH6" i="50"/>
  <c r="GI6" i="50"/>
  <c r="GJ6" i="50"/>
  <c r="GK6" i="50"/>
  <c r="GL6" i="50"/>
  <c r="GM6" i="50"/>
  <c r="GN6" i="50"/>
  <c r="GO6" i="50"/>
  <c r="GP6" i="50"/>
  <c r="GQ6" i="50"/>
  <c r="GR6" i="50"/>
  <c r="GS6" i="50"/>
  <c r="GT6" i="50"/>
  <c r="GU6" i="50"/>
  <c r="GV6" i="50"/>
  <c r="GW6" i="50"/>
  <c r="GX6" i="50"/>
  <c r="GY6" i="50"/>
  <c r="GZ6" i="50"/>
  <c r="HA6" i="50"/>
  <c r="HB6" i="50"/>
  <c r="HC6" i="50"/>
  <c r="HD6" i="50"/>
  <c r="HE6" i="50"/>
  <c r="HF6" i="50"/>
  <c r="HG6" i="50"/>
  <c r="HH6" i="50"/>
  <c r="HI6" i="50"/>
  <c r="HJ6" i="50"/>
  <c r="HK6" i="50"/>
  <c r="HL6" i="50"/>
  <c r="HM6" i="50"/>
  <c r="HN6" i="50"/>
  <c r="HO6" i="50"/>
  <c r="HP6" i="50"/>
  <c r="HQ6" i="50"/>
  <c r="HR6" i="50"/>
  <c r="HS6" i="50"/>
  <c r="HT6" i="50"/>
  <c r="HU6" i="50"/>
  <c r="HV6" i="50"/>
  <c r="HW6" i="50"/>
  <c r="HX6" i="50"/>
  <c r="HY6" i="50"/>
  <c r="HZ6" i="50"/>
  <c r="IA6" i="50"/>
  <c r="IB6" i="50"/>
  <c r="IC6" i="50"/>
  <c r="ID6" i="50"/>
  <c r="IE6" i="50"/>
  <c r="IF6" i="50"/>
  <c r="IG6" i="50"/>
  <c r="IH6" i="50"/>
  <c r="II6" i="50"/>
  <c r="IJ6" i="50"/>
  <c r="IK6" i="50"/>
  <c r="IL6" i="50"/>
  <c r="IM6" i="50"/>
  <c r="IN6" i="50"/>
  <c r="IO6" i="50"/>
  <c r="IP6" i="50"/>
  <c r="IQ6" i="50"/>
  <c r="IR6" i="50"/>
  <c r="IS6" i="50"/>
  <c r="IT6" i="50"/>
  <c r="IU6" i="50"/>
  <c r="IV6" i="50"/>
  <c r="F7" i="50"/>
  <c r="G7" i="50"/>
  <c r="H7" i="50"/>
  <c r="I7" i="50"/>
  <c r="J7" i="50"/>
  <c r="K7" i="50"/>
  <c r="L7" i="50"/>
  <c r="M7" i="50"/>
  <c r="N7" i="50"/>
  <c r="O7" i="50"/>
  <c r="P7" i="50"/>
  <c r="Q7" i="50"/>
  <c r="R7" i="50"/>
  <c r="S7" i="50"/>
  <c r="T7" i="50"/>
  <c r="U7" i="50"/>
  <c r="V7" i="50"/>
  <c r="W7" i="50"/>
  <c r="X7" i="50"/>
  <c r="Y7" i="50"/>
  <c r="Z7" i="50"/>
  <c r="AA7" i="50"/>
  <c r="AB7" i="50"/>
  <c r="AC7" i="50"/>
  <c r="AD7" i="50"/>
  <c r="AE7" i="50"/>
  <c r="AF7" i="50"/>
  <c r="AG7" i="50"/>
  <c r="AH7" i="50"/>
  <c r="AI7" i="50"/>
  <c r="AJ7" i="50"/>
  <c r="AK7" i="50"/>
  <c r="AL7" i="50"/>
  <c r="AM7" i="50"/>
  <c r="AN7" i="50"/>
  <c r="AO7" i="50"/>
  <c r="AP7" i="50"/>
  <c r="AQ7" i="50"/>
  <c r="AR7" i="50"/>
  <c r="AS7" i="50"/>
  <c r="AT7" i="50"/>
  <c r="AU7" i="50"/>
  <c r="AV7" i="50"/>
  <c r="AW7" i="50"/>
  <c r="AX7" i="50"/>
  <c r="AY7" i="50"/>
  <c r="AZ7" i="50"/>
  <c r="BA7" i="50"/>
  <c r="BB7" i="50"/>
  <c r="BC7" i="50"/>
  <c r="BD7" i="50"/>
  <c r="BE7" i="50"/>
  <c r="BF7" i="50"/>
  <c r="BG7" i="50"/>
  <c r="BH7" i="50"/>
  <c r="BI7" i="50"/>
  <c r="BJ7" i="50"/>
  <c r="BK7" i="50"/>
  <c r="BL7" i="50"/>
  <c r="BM7" i="50"/>
  <c r="BN7" i="50"/>
  <c r="BO7" i="50"/>
  <c r="BP7" i="50"/>
  <c r="BQ7" i="50"/>
  <c r="BR7" i="50"/>
  <c r="BS7" i="50"/>
  <c r="BT7" i="50"/>
  <c r="BU7" i="50"/>
  <c r="BV7" i="50"/>
  <c r="BW7" i="50"/>
  <c r="BX7" i="50"/>
  <c r="BY7" i="50"/>
  <c r="BZ7" i="50"/>
  <c r="CA7" i="50"/>
  <c r="CB7" i="50"/>
  <c r="CC7" i="50"/>
  <c r="CD7" i="50"/>
  <c r="CE7" i="50"/>
  <c r="CF7" i="50"/>
  <c r="CG7" i="50"/>
  <c r="CH7" i="50"/>
  <c r="CI7" i="50"/>
  <c r="CJ7" i="50"/>
  <c r="CK7" i="50"/>
  <c r="CL7" i="50"/>
  <c r="CM7" i="50"/>
  <c r="CN7" i="50"/>
  <c r="CO7" i="50"/>
  <c r="CP7" i="50"/>
  <c r="CQ7" i="50"/>
  <c r="CR7" i="50"/>
  <c r="CS7" i="50"/>
  <c r="CT7" i="50"/>
  <c r="CU7" i="50"/>
  <c r="CV7" i="50"/>
  <c r="CW7" i="50"/>
  <c r="CX7" i="50"/>
  <c r="CY7" i="50"/>
  <c r="CZ7" i="50"/>
  <c r="DA7" i="50"/>
  <c r="DB7" i="50"/>
  <c r="DC7" i="50"/>
  <c r="DD7" i="50"/>
  <c r="DE7" i="50"/>
  <c r="DF7" i="50"/>
  <c r="DG7" i="50"/>
  <c r="DH7" i="50"/>
  <c r="DI7" i="50"/>
  <c r="DJ7" i="50"/>
  <c r="DK7" i="50"/>
  <c r="DL7" i="50"/>
  <c r="DM7" i="50"/>
  <c r="DN7" i="50"/>
  <c r="DO7" i="50"/>
  <c r="DP7" i="50"/>
  <c r="DQ7" i="50"/>
  <c r="DR7" i="50"/>
  <c r="DS7" i="50"/>
  <c r="DT7" i="50"/>
  <c r="DU7" i="50"/>
  <c r="DV7" i="50"/>
  <c r="DW7" i="50"/>
  <c r="DX7" i="50"/>
  <c r="DY7" i="50"/>
  <c r="DZ7" i="50"/>
  <c r="EA7" i="50"/>
  <c r="EB7" i="50"/>
  <c r="EC7" i="50"/>
  <c r="ED7" i="50"/>
  <c r="EE7" i="50"/>
  <c r="EF7" i="50"/>
  <c r="EG7" i="50"/>
  <c r="EH7" i="50"/>
  <c r="EI7" i="50"/>
  <c r="EJ7" i="50"/>
  <c r="EK7" i="50"/>
  <c r="EL7" i="50"/>
  <c r="EM7" i="50"/>
  <c r="EN7" i="50"/>
  <c r="EO7" i="50"/>
  <c r="EP7" i="50"/>
  <c r="EQ7" i="50"/>
  <c r="ER7" i="50"/>
  <c r="ES7" i="50"/>
  <c r="ET7" i="50"/>
  <c r="EU7" i="50"/>
  <c r="EV7" i="50"/>
  <c r="EW7" i="50"/>
  <c r="EX7" i="50"/>
  <c r="EY7" i="50"/>
  <c r="EZ7" i="50"/>
  <c r="FA7" i="50"/>
  <c r="FB7" i="50"/>
  <c r="FC7" i="50"/>
  <c r="FD7" i="50"/>
  <c r="FE7" i="50"/>
  <c r="FF7" i="50"/>
  <c r="FG7" i="50"/>
  <c r="FH7" i="50"/>
  <c r="FI7" i="50"/>
  <c r="FJ7" i="50"/>
  <c r="FK7" i="50"/>
  <c r="FL7" i="50"/>
  <c r="FM7" i="50"/>
  <c r="FN7" i="50"/>
  <c r="FO7" i="50"/>
  <c r="FP7" i="50"/>
  <c r="FQ7" i="50"/>
  <c r="FR7" i="50"/>
  <c r="FS7" i="50"/>
  <c r="FT7" i="50"/>
  <c r="FU7" i="50"/>
  <c r="FV7" i="50"/>
  <c r="FW7" i="50"/>
  <c r="FX7" i="50"/>
  <c r="FY7" i="50"/>
  <c r="FZ7" i="50"/>
  <c r="GA7" i="50"/>
  <c r="GB7" i="50"/>
  <c r="GC7" i="50"/>
  <c r="GD7" i="50"/>
  <c r="GE7" i="50"/>
  <c r="GF7" i="50"/>
  <c r="GG7" i="50"/>
  <c r="GH7" i="50"/>
  <c r="GI7" i="50"/>
  <c r="GJ7" i="50"/>
  <c r="GK7" i="50"/>
  <c r="GL7" i="50"/>
  <c r="GM7" i="50"/>
  <c r="GN7" i="50"/>
  <c r="GO7" i="50"/>
  <c r="GP7" i="50"/>
  <c r="GQ7" i="50"/>
  <c r="GR7" i="50"/>
  <c r="GS7" i="50"/>
  <c r="GT7" i="50"/>
  <c r="GU7" i="50"/>
  <c r="GV7" i="50"/>
  <c r="GW7" i="50"/>
  <c r="GX7" i="50"/>
  <c r="GY7" i="50"/>
  <c r="GZ7" i="50"/>
  <c r="HA7" i="50"/>
  <c r="HB7" i="50"/>
  <c r="HC7" i="50"/>
  <c r="HD7" i="50"/>
  <c r="HE7" i="50"/>
  <c r="HF7" i="50"/>
  <c r="HG7" i="50"/>
  <c r="HH7" i="50"/>
  <c r="HI7" i="50"/>
  <c r="HJ7" i="50"/>
  <c r="HK7" i="50"/>
  <c r="HL7" i="50"/>
  <c r="HM7" i="50"/>
  <c r="HN7" i="50"/>
  <c r="HO7" i="50"/>
  <c r="HP7" i="50"/>
  <c r="HQ7" i="50"/>
  <c r="HR7" i="50"/>
  <c r="HS7" i="50"/>
  <c r="HT7" i="50"/>
  <c r="HU7" i="50"/>
  <c r="HV7" i="50"/>
  <c r="HW7" i="50"/>
  <c r="HX7" i="50"/>
  <c r="HY7" i="50"/>
  <c r="HZ7" i="50"/>
  <c r="IA7" i="50"/>
  <c r="IB7" i="50"/>
  <c r="IC7" i="50"/>
  <c r="ID7" i="50"/>
  <c r="IE7" i="50"/>
  <c r="IF7" i="50"/>
  <c r="IG7" i="50"/>
  <c r="IH7" i="50"/>
  <c r="II7" i="50"/>
  <c r="IJ7" i="50"/>
  <c r="IK7" i="50"/>
  <c r="IL7" i="50"/>
  <c r="IM7" i="50"/>
  <c r="IN7" i="50"/>
  <c r="IO7" i="50"/>
  <c r="IP7" i="50"/>
  <c r="IQ7" i="50"/>
  <c r="IR7" i="50"/>
  <c r="IS7" i="50"/>
  <c r="IT7" i="50"/>
  <c r="IU7" i="50"/>
  <c r="IV7" i="50"/>
  <c r="F8" i="50"/>
  <c r="G8" i="50"/>
  <c r="H8" i="50"/>
  <c r="I8" i="50"/>
  <c r="J8" i="50"/>
  <c r="K8" i="50"/>
  <c r="L8" i="50"/>
  <c r="M8" i="50"/>
  <c r="N8" i="50"/>
  <c r="O8" i="50"/>
  <c r="P8" i="50"/>
  <c r="Q8" i="50"/>
  <c r="R8" i="50"/>
  <c r="S8" i="50"/>
  <c r="T8" i="50"/>
  <c r="U8" i="50"/>
  <c r="V8" i="50"/>
  <c r="W8" i="50"/>
  <c r="X8" i="50"/>
  <c r="Y8" i="50"/>
  <c r="Z8" i="50"/>
  <c r="AA8" i="50"/>
  <c r="AB8" i="50"/>
  <c r="AC8" i="50"/>
  <c r="AD8" i="50"/>
  <c r="AE8" i="50"/>
  <c r="AF8" i="50"/>
  <c r="AG8" i="50"/>
  <c r="AH8" i="50"/>
  <c r="AI8" i="50"/>
  <c r="AJ8" i="50"/>
  <c r="AK8" i="50"/>
  <c r="AL8" i="50"/>
  <c r="AM8" i="50"/>
  <c r="AN8" i="50"/>
  <c r="AO8" i="50"/>
  <c r="AP8" i="50"/>
  <c r="AQ8" i="50"/>
  <c r="AR8" i="50"/>
  <c r="AS8" i="50"/>
  <c r="AT8" i="50"/>
  <c r="AU8" i="50"/>
  <c r="AV8" i="50"/>
  <c r="AW8" i="50"/>
  <c r="AX8" i="50"/>
  <c r="AY8" i="50"/>
  <c r="AZ8" i="50"/>
  <c r="BA8" i="50"/>
  <c r="BB8" i="50"/>
  <c r="BC8" i="50"/>
  <c r="BD8" i="50"/>
  <c r="BE8" i="50"/>
  <c r="BF8" i="50"/>
  <c r="BG8" i="50"/>
  <c r="BH8" i="50"/>
  <c r="BI8" i="50"/>
  <c r="BJ8" i="50"/>
  <c r="BK8" i="50"/>
  <c r="BL8" i="50"/>
  <c r="BM8" i="50"/>
  <c r="BN8" i="50"/>
  <c r="BO8" i="50"/>
  <c r="BP8" i="50"/>
  <c r="BQ8" i="50"/>
  <c r="BR8" i="50"/>
  <c r="BS8" i="50"/>
  <c r="BT8" i="50"/>
  <c r="BU8" i="50"/>
  <c r="BV8" i="50"/>
  <c r="BW8" i="50"/>
  <c r="BX8" i="50"/>
  <c r="BY8" i="50"/>
  <c r="BZ8" i="50"/>
  <c r="CA8" i="50"/>
  <c r="CB8" i="50"/>
  <c r="CC8" i="50"/>
  <c r="CD8" i="50"/>
  <c r="CE8" i="50"/>
  <c r="CF8" i="50"/>
  <c r="CG8" i="50"/>
  <c r="CH8" i="50"/>
  <c r="CI8" i="50"/>
  <c r="CJ8" i="50"/>
  <c r="CK8" i="50"/>
  <c r="CL8" i="50"/>
  <c r="CM8" i="50"/>
  <c r="CN8" i="50"/>
  <c r="CO8" i="50"/>
  <c r="CP8" i="50"/>
  <c r="CQ8" i="50"/>
  <c r="CR8" i="50"/>
  <c r="CS8" i="50"/>
  <c r="CT8" i="50"/>
  <c r="CU8" i="50"/>
  <c r="CV8" i="50"/>
  <c r="CW8" i="50"/>
  <c r="CX8" i="50"/>
  <c r="CY8" i="50"/>
  <c r="CZ8" i="50"/>
  <c r="DA8" i="50"/>
  <c r="DB8" i="50"/>
  <c r="DC8" i="50"/>
  <c r="DD8" i="50"/>
  <c r="DE8" i="50"/>
  <c r="DF8" i="50"/>
  <c r="DG8" i="50"/>
  <c r="DH8" i="50"/>
  <c r="DI8" i="50"/>
  <c r="DJ8" i="50"/>
  <c r="DK8" i="50"/>
  <c r="DL8" i="50"/>
  <c r="DM8" i="50"/>
  <c r="DN8" i="50"/>
  <c r="DO8" i="50"/>
  <c r="DP8" i="50"/>
  <c r="DQ8" i="50"/>
  <c r="DR8" i="50"/>
  <c r="DS8" i="50"/>
  <c r="DT8" i="50"/>
  <c r="DU8" i="50"/>
  <c r="DV8" i="50"/>
  <c r="DW8" i="50"/>
  <c r="DX8" i="50"/>
  <c r="DY8" i="50"/>
  <c r="DZ8" i="50"/>
  <c r="EA8" i="50"/>
  <c r="EB8" i="50"/>
  <c r="EC8" i="50"/>
  <c r="ED8" i="50"/>
  <c r="EE8" i="50"/>
  <c r="EF8" i="50"/>
  <c r="EG8" i="50"/>
  <c r="EH8" i="50"/>
  <c r="EI8" i="50"/>
  <c r="EJ8" i="50"/>
  <c r="EK8" i="50"/>
  <c r="EL8" i="50"/>
  <c r="EM8" i="50"/>
  <c r="EN8" i="50"/>
  <c r="EO8" i="50"/>
  <c r="EP8" i="50"/>
  <c r="EQ8" i="50"/>
  <c r="ER8" i="50"/>
  <c r="ES8" i="50"/>
  <c r="ET8" i="50"/>
  <c r="EU8" i="50"/>
  <c r="EV8" i="50"/>
  <c r="EW8" i="50"/>
  <c r="EX8" i="50"/>
  <c r="EY8" i="50"/>
  <c r="EZ8" i="50"/>
  <c r="FA8" i="50"/>
  <c r="FB8" i="50"/>
  <c r="FC8" i="50"/>
  <c r="FD8" i="50"/>
  <c r="FE8" i="50"/>
  <c r="FF8" i="50"/>
  <c r="FG8" i="50"/>
  <c r="FH8" i="50"/>
  <c r="FI8" i="50"/>
  <c r="FJ8" i="50"/>
  <c r="FK8" i="50"/>
  <c r="FL8" i="50"/>
  <c r="FM8" i="50"/>
  <c r="FN8" i="50"/>
  <c r="FO8" i="50"/>
  <c r="FP8" i="50"/>
  <c r="FQ8" i="50"/>
  <c r="FR8" i="50"/>
  <c r="FS8" i="50"/>
  <c r="FT8" i="50"/>
  <c r="FU8" i="50"/>
  <c r="FV8" i="50"/>
  <c r="FW8" i="50"/>
  <c r="FX8" i="50"/>
  <c r="FY8" i="50"/>
  <c r="FZ8" i="50"/>
  <c r="GA8" i="50"/>
  <c r="GB8" i="50"/>
  <c r="GC8" i="50"/>
  <c r="GD8" i="50"/>
  <c r="GE8" i="50"/>
  <c r="GF8" i="50"/>
  <c r="GG8" i="50"/>
  <c r="GH8" i="50"/>
  <c r="GI8" i="50"/>
  <c r="GJ8" i="50"/>
  <c r="GK8" i="50"/>
  <c r="GL8" i="50"/>
  <c r="GM8" i="50"/>
  <c r="GN8" i="50"/>
  <c r="GO8" i="50"/>
  <c r="GP8" i="50"/>
  <c r="GQ8" i="50"/>
  <c r="GR8" i="50"/>
  <c r="GS8" i="50"/>
  <c r="GT8" i="50"/>
  <c r="GU8" i="50"/>
  <c r="GV8" i="50"/>
  <c r="GW8" i="50"/>
  <c r="GX8" i="50"/>
  <c r="GY8" i="50"/>
  <c r="GZ8" i="50"/>
  <c r="HA8" i="50"/>
  <c r="HB8" i="50"/>
  <c r="HC8" i="50"/>
  <c r="HD8" i="50"/>
  <c r="HE8" i="50"/>
  <c r="HF8" i="50"/>
  <c r="HG8" i="50"/>
  <c r="HH8" i="50"/>
  <c r="HI8" i="50"/>
  <c r="HJ8" i="50"/>
  <c r="HK8" i="50"/>
  <c r="HL8" i="50"/>
  <c r="HM8" i="50"/>
  <c r="HN8" i="50"/>
  <c r="HO8" i="50"/>
  <c r="HP8" i="50"/>
  <c r="HQ8" i="50"/>
  <c r="HR8" i="50"/>
  <c r="HS8" i="50"/>
  <c r="HT8" i="50"/>
  <c r="HU8" i="50"/>
  <c r="HV8" i="50"/>
  <c r="HW8" i="50"/>
  <c r="HX8" i="50"/>
  <c r="HY8" i="50"/>
  <c r="HZ8" i="50"/>
  <c r="IA8" i="50"/>
  <c r="IB8" i="50"/>
  <c r="IC8" i="50"/>
  <c r="ID8" i="50"/>
  <c r="IE8" i="50"/>
  <c r="IF8" i="50"/>
  <c r="IG8" i="50"/>
  <c r="IH8" i="50"/>
  <c r="II8" i="50"/>
  <c r="IJ8" i="50"/>
  <c r="IK8" i="50"/>
  <c r="IL8" i="50"/>
  <c r="IM8" i="50"/>
  <c r="IN8" i="50"/>
  <c r="IO8" i="50"/>
  <c r="IP8" i="50"/>
  <c r="IQ8" i="50"/>
  <c r="IR8" i="50"/>
  <c r="IS8" i="50"/>
  <c r="IT8" i="50"/>
  <c r="IU8" i="50"/>
  <c r="IV8" i="50"/>
  <c r="F9" i="50"/>
  <c r="G9" i="50"/>
  <c r="H9" i="50"/>
  <c r="I9" i="50"/>
  <c r="J9" i="50"/>
  <c r="K9" i="50"/>
  <c r="L9" i="50"/>
  <c r="M9" i="50"/>
  <c r="N9" i="50"/>
  <c r="O9" i="50"/>
  <c r="P9" i="50"/>
  <c r="Q9" i="50"/>
  <c r="R9" i="50"/>
  <c r="S9" i="50"/>
  <c r="T9" i="50"/>
  <c r="U9" i="50"/>
  <c r="V9" i="50"/>
  <c r="W9" i="50"/>
  <c r="X9" i="50"/>
  <c r="Y9" i="50"/>
  <c r="Z9" i="50"/>
  <c r="AA9" i="50"/>
  <c r="AB9" i="50"/>
  <c r="AC9" i="50"/>
  <c r="AD9" i="50"/>
  <c r="AE9" i="50"/>
  <c r="AF9" i="50"/>
  <c r="AG9" i="50"/>
  <c r="AH9" i="50"/>
  <c r="AI9" i="50"/>
  <c r="AJ9" i="50"/>
  <c r="AK9" i="50"/>
  <c r="AL9" i="50"/>
  <c r="AM9" i="50"/>
  <c r="AN9" i="50"/>
  <c r="AO9" i="50"/>
  <c r="AP9" i="50"/>
  <c r="AQ9" i="50"/>
  <c r="AR9" i="50"/>
  <c r="AS9" i="50"/>
  <c r="AT9" i="50"/>
  <c r="AU9" i="50"/>
  <c r="AV9" i="50"/>
  <c r="AW9" i="50"/>
  <c r="AX9" i="50"/>
  <c r="AY9" i="50"/>
  <c r="AZ9" i="50"/>
  <c r="BA9" i="50"/>
  <c r="BB9" i="50"/>
  <c r="BC9" i="50"/>
  <c r="BD9" i="50"/>
  <c r="BE9" i="50"/>
  <c r="BF9" i="50"/>
  <c r="BG9" i="50"/>
  <c r="BH9" i="50"/>
  <c r="BI9" i="50"/>
  <c r="BJ9" i="50"/>
  <c r="BK9" i="50"/>
  <c r="BL9" i="50"/>
  <c r="BM9" i="50"/>
  <c r="BN9" i="50"/>
  <c r="BO9" i="50"/>
  <c r="BP9" i="50"/>
  <c r="BQ9" i="50"/>
  <c r="BR9" i="50"/>
  <c r="BS9" i="50"/>
  <c r="BT9" i="50"/>
  <c r="BU9" i="50"/>
  <c r="BV9" i="50"/>
  <c r="BW9" i="50"/>
  <c r="BX9" i="50"/>
  <c r="BY9" i="50"/>
  <c r="BZ9" i="50"/>
  <c r="CA9" i="50"/>
  <c r="CB9" i="50"/>
  <c r="CC9" i="50"/>
  <c r="CD9" i="50"/>
  <c r="CE9" i="50"/>
  <c r="CF9" i="50"/>
  <c r="CG9" i="50"/>
  <c r="CH9" i="50"/>
  <c r="CI9" i="50"/>
  <c r="CJ9" i="50"/>
  <c r="CK9" i="50"/>
  <c r="CL9" i="50"/>
  <c r="CM9" i="50"/>
  <c r="CN9" i="50"/>
  <c r="CO9" i="50"/>
  <c r="CP9" i="50"/>
  <c r="CQ9" i="50"/>
  <c r="CR9" i="50"/>
  <c r="CS9" i="50"/>
  <c r="CT9" i="50"/>
  <c r="CU9" i="50"/>
  <c r="CV9" i="50"/>
  <c r="CW9" i="50"/>
  <c r="CX9" i="50"/>
  <c r="CY9" i="50"/>
  <c r="CZ9" i="50"/>
  <c r="DA9" i="50"/>
  <c r="DB9" i="50"/>
  <c r="DC9" i="50"/>
  <c r="DD9" i="50"/>
  <c r="DE9" i="50"/>
  <c r="DF9" i="50"/>
  <c r="DG9" i="50"/>
  <c r="DH9" i="50"/>
  <c r="DI9" i="50"/>
  <c r="DJ9" i="50"/>
  <c r="DK9" i="50"/>
  <c r="DL9" i="50"/>
  <c r="DM9" i="50"/>
  <c r="DN9" i="50"/>
  <c r="DO9" i="50"/>
  <c r="DP9" i="50"/>
  <c r="DQ9" i="50"/>
  <c r="DR9" i="50"/>
  <c r="DS9" i="50"/>
  <c r="DT9" i="50"/>
  <c r="DU9" i="50"/>
  <c r="DV9" i="50"/>
  <c r="DW9" i="50"/>
  <c r="DX9" i="50"/>
  <c r="DY9" i="50"/>
  <c r="DZ9" i="50"/>
  <c r="EA9" i="50"/>
  <c r="EB9" i="50"/>
  <c r="EC9" i="50"/>
  <c r="ED9" i="50"/>
  <c r="EE9" i="50"/>
  <c r="EF9" i="50"/>
  <c r="EG9" i="50"/>
  <c r="EH9" i="50"/>
  <c r="EI9" i="50"/>
  <c r="EJ9" i="50"/>
  <c r="EK9" i="50"/>
  <c r="EL9" i="50"/>
  <c r="EM9" i="50"/>
  <c r="EN9" i="50"/>
  <c r="EO9" i="50"/>
  <c r="EP9" i="50"/>
  <c r="EQ9" i="50"/>
  <c r="ER9" i="50"/>
  <c r="ES9" i="50"/>
  <c r="ET9" i="50"/>
  <c r="EU9" i="50"/>
  <c r="EV9" i="50"/>
  <c r="EW9" i="50"/>
  <c r="EX9" i="50"/>
  <c r="EY9" i="50"/>
  <c r="EZ9" i="50"/>
  <c r="FA9" i="50"/>
  <c r="FB9" i="50"/>
  <c r="FC9" i="50"/>
  <c r="FD9" i="50"/>
  <c r="FE9" i="50"/>
  <c r="FF9" i="50"/>
  <c r="FG9" i="50"/>
  <c r="FH9" i="50"/>
  <c r="FI9" i="50"/>
  <c r="FJ9" i="50"/>
  <c r="FK9" i="50"/>
  <c r="FL9" i="50"/>
  <c r="FM9" i="50"/>
  <c r="FN9" i="50"/>
  <c r="FO9" i="50"/>
  <c r="FP9" i="50"/>
  <c r="FQ9" i="50"/>
  <c r="FR9" i="50"/>
  <c r="FS9" i="50"/>
  <c r="FT9" i="50"/>
  <c r="FU9" i="50"/>
  <c r="FV9" i="50"/>
  <c r="FW9" i="50"/>
  <c r="FX9" i="50"/>
  <c r="FY9" i="50"/>
  <c r="FZ9" i="50"/>
  <c r="GA9" i="50"/>
  <c r="GB9" i="50"/>
  <c r="GC9" i="50"/>
  <c r="GD9" i="50"/>
  <c r="GE9" i="50"/>
  <c r="GF9" i="50"/>
  <c r="GG9" i="50"/>
  <c r="GH9" i="50"/>
  <c r="GI9" i="50"/>
  <c r="GJ9" i="50"/>
  <c r="GK9" i="50"/>
  <c r="GL9" i="50"/>
  <c r="GM9" i="50"/>
  <c r="GN9" i="50"/>
  <c r="GO9" i="50"/>
  <c r="GP9" i="50"/>
  <c r="GQ9" i="50"/>
  <c r="GR9" i="50"/>
  <c r="GS9" i="50"/>
  <c r="GT9" i="50"/>
  <c r="GU9" i="50"/>
  <c r="GV9" i="50"/>
  <c r="GW9" i="50"/>
  <c r="GX9" i="50"/>
  <c r="GY9" i="50"/>
  <c r="GZ9" i="50"/>
  <c r="HA9" i="50"/>
  <c r="HB9" i="50"/>
  <c r="HC9" i="50"/>
  <c r="HD9" i="50"/>
  <c r="HE9" i="50"/>
  <c r="HF9" i="50"/>
  <c r="HG9" i="50"/>
  <c r="HH9" i="50"/>
  <c r="HI9" i="50"/>
  <c r="HJ9" i="50"/>
  <c r="HK9" i="50"/>
  <c r="HL9" i="50"/>
  <c r="HM9" i="50"/>
  <c r="HN9" i="50"/>
  <c r="HO9" i="50"/>
  <c r="HP9" i="50"/>
  <c r="HQ9" i="50"/>
  <c r="HR9" i="50"/>
  <c r="HS9" i="50"/>
  <c r="HT9" i="50"/>
  <c r="HU9" i="50"/>
  <c r="HV9" i="50"/>
  <c r="HW9" i="50"/>
  <c r="HX9" i="50"/>
  <c r="HY9" i="50"/>
  <c r="HZ9" i="50"/>
  <c r="IA9" i="50"/>
  <c r="IB9" i="50"/>
  <c r="IC9" i="50"/>
  <c r="ID9" i="50"/>
  <c r="IE9" i="50"/>
  <c r="IF9" i="50"/>
  <c r="IG9" i="50"/>
  <c r="IH9" i="50"/>
  <c r="II9" i="50"/>
  <c r="IJ9" i="50"/>
  <c r="IK9" i="50"/>
  <c r="IL9" i="50"/>
  <c r="IM9" i="50"/>
  <c r="IN9" i="50"/>
  <c r="IO9" i="50"/>
  <c r="IP9" i="50"/>
  <c r="IQ9" i="50"/>
  <c r="IR9" i="50"/>
  <c r="IS9" i="50"/>
  <c r="IT9" i="50"/>
  <c r="IU9" i="50"/>
  <c r="IV9" i="50"/>
  <c r="F10" i="50"/>
  <c r="G10" i="50"/>
  <c r="H10" i="50"/>
  <c r="I10" i="50"/>
  <c r="J10" i="50"/>
  <c r="K10" i="50"/>
  <c r="L10" i="50"/>
  <c r="M10" i="50"/>
  <c r="N10" i="50"/>
  <c r="O10" i="50"/>
  <c r="P10" i="50"/>
  <c r="Q10" i="50"/>
  <c r="R10" i="50"/>
  <c r="S10" i="50"/>
  <c r="T10" i="50"/>
  <c r="U10" i="50"/>
  <c r="V10" i="50"/>
  <c r="W10" i="50"/>
  <c r="X10" i="50"/>
  <c r="Y10" i="50"/>
  <c r="Z10" i="50"/>
  <c r="AA10" i="50"/>
  <c r="AB10" i="50"/>
  <c r="AC10" i="50"/>
  <c r="AD10" i="50"/>
  <c r="AE10" i="50"/>
  <c r="AF10" i="50"/>
  <c r="AG10" i="50"/>
  <c r="AH10" i="50"/>
  <c r="AI10" i="50"/>
  <c r="AJ10" i="50"/>
  <c r="AK10" i="50"/>
  <c r="AL10" i="50"/>
  <c r="AM10" i="50"/>
  <c r="AN10" i="50"/>
  <c r="AO10" i="50"/>
  <c r="AP10" i="50"/>
  <c r="AQ10" i="50"/>
  <c r="AR10" i="50"/>
  <c r="AS10" i="50"/>
  <c r="AT10" i="50"/>
  <c r="AU10" i="50"/>
  <c r="AV10" i="50"/>
  <c r="AW10" i="50"/>
  <c r="AX10" i="50"/>
  <c r="AY10" i="50"/>
  <c r="AZ10" i="50"/>
  <c r="BA10" i="50"/>
  <c r="BB10" i="50"/>
  <c r="BC10" i="50"/>
  <c r="BD10" i="50"/>
  <c r="BE10" i="50"/>
  <c r="BF10" i="50"/>
  <c r="BG10" i="50"/>
  <c r="BH10" i="50"/>
  <c r="BI10" i="50"/>
  <c r="BJ10" i="50"/>
  <c r="BK10" i="50"/>
  <c r="BL10" i="50"/>
  <c r="BM10" i="50"/>
  <c r="BN10" i="50"/>
  <c r="BO10" i="50"/>
  <c r="BP10" i="50"/>
  <c r="BQ10" i="50"/>
  <c r="BR10" i="50"/>
  <c r="BS10" i="50"/>
  <c r="BT10" i="50"/>
  <c r="BU10" i="50"/>
  <c r="BV10" i="50"/>
  <c r="BW10" i="50"/>
  <c r="BX10" i="50"/>
  <c r="BY10" i="50"/>
  <c r="BZ10" i="50"/>
  <c r="CA10" i="50"/>
  <c r="CB10" i="50"/>
  <c r="CC10" i="50"/>
  <c r="CD10" i="50"/>
  <c r="CE10" i="50"/>
  <c r="CF10" i="50"/>
  <c r="CG10" i="50"/>
  <c r="CH10" i="50"/>
  <c r="CI10" i="50"/>
  <c r="CJ10" i="50"/>
  <c r="CK10" i="50"/>
  <c r="CL10" i="50"/>
  <c r="CM10" i="50"/>
  <c r="CN10" i="50"/>
  <c r="CO10" i="50"/>
  <c r="CP10" i="50"/>
  <c r="CQ10" i="50"/>
  <c r="CR10" i="50"/>
  <c r="CS10" i="50"/>
  <c r="CT10" i="50"/>
  <c r="CU10" i="50"/>
  <c r="CV10" i="50"/>
  <c r="CW10" i="50"/>
  <c r="CX10" i="50"/>
  <c r="CY10" i="50"/>
  <c r="CZ10" i="50"/>
  <c r="DA10" i="50"/>
  <c r="DB10" i="50"/>
  <c r="DC10" i="50"/>
  <c r="DD10" i="50"/>
  <c r="DE10" i="50"/>
  <c r="DF10" i="50"/>
  <c r="DG10" i="50"/>
  <c r="DH10" i="50"/>
  <c r="DI10" i="50"/>
  <c r="DJ10" i="50"/>
  <c r="DK10" i="50"/>
  <c r="DL10" i="50"/>
  <c r="DM10" i="50"/>
  <c r="DN10" i="50"/>
  <c r="DO10" i="50"/>
  <c r="DP10" i="50"/>
  <c r="DQ10" i="50"/>
  <c r="DR10" i="50"/>
  <c r="DS10" i="50"/>
  <c r="DT10" i="50"/>
  <c r="DU10" i="50"/>
  <c r="DV10" i="50"/>
  <c r="DW10" i="50"/>
  <c r="DX10" i="50"/>
  <c r="DY10" i="50"/>
  <c r="DZ10" i="50"/>
  <c r="EA10" i="50"/>
  <c r="EB10" i="50"/>
  <c r="EC10" i="50"/>
  <c r="ED10" i="50"/>
  <c r="EE10" i="50"/>
  <c r="EF10" i="50"/>
  <c r="EG10" i="50"/>
  <c r="EH10" i="50"/>
  <c r="EI10" i="50"/>
  <c r="EJ10" i="50"/>
  <c r="EK10" i="50"/>
  <c r="EL10" i="50"/>
  <c r="EM10" i="50"/>
  <c r="EN10" i="50"/>
  <c r="EO10" i="50"/>
  <c r="EP10" i="50"/>
  <c r="EQ10" i="50"/>
  <c r="ER10" i="50"/>
  <c r="ES10" i="50"/>
  <c r="ET10" i="50"/>
  <c r="EU10" i="50"/>
  <c r="EV10" i="50"/>
  <c r="EW10" i="50"/>
  <c r="EX10" i="50"/>
  <c r="EY10" i="50"/>
  <c r="EZ10" i="50"/>
  <c r="FA10" i="50"/>
  <c r="FB10" i="50"/>
  <c r="FC10" i="50"/>
  <c r="FD10" i="50"/>
  <c r="FE10" i="50"/>
  <c r="FF10" i="50"/>
  <c r="FG10" i="50"/>
  <c r="FH10" i="50"/>
  <c r="FI10" i="50"/>
  <c r="FJ10" i="50"/>
  <c r="FK10" i="50"/>
  <c r="FL10" i="50"/>
  <c r="FM10" i="50"/>
  <c r="FN10" i="50"/>
  <c r="FO10" i="50"/>
  <c r="FP10" i="50"/>
  <c r="FQ10" i="50"/>
  <c r="FR10" i="50"/>
  <c r="FS10" i="50"/>
  <c r="FT10" i="50"/>
  <c r="FU10" i="50"/>
  <c r="FV10" i="50"/>
  <c r="FW10" i="50"/>
  <c r="FX10" i="50"/>
  <c r="FY10" i="50"/>
  <c r="FZ10" i="50"/>
  <c r="GA10" i="50"/>
  <c r="GB10" i="50"/>
  <c r="GC10" i="50"/>
  <c r="GD10" i="50"/>
  <c r="GE10" i="50"/>
  <c r="GF10" i="50"/>
  <c r="GG10" i="50"/>
  <c r="GH10" i="50"/>
  <c r="GI10" i="50"/>
  <c r="GJ10" i="50"/>
  <c r="GK10" i="50"/>
  <c r="GL10" i="50"/>
  <c r="GM10" i="50"/>
  <c r="GN10" i="50"/>
  <c r="GO10" i="50"/>
  <c r="GP10" i="50"/>
  <c r="GQ10" i="50"/>
  <c r="GR10" i="50"/>
  <c r="GS10" i="50"/>
  <c r="GT10" i="50"/>
  <c r="GU10" i="50"/>
  <c r="GV10" i="50"/>
  <c r="GW10" i="50"/>
  <c r="GX10" i="50"/>
  <c r="GY10" i="50"/>
  <c r="GZ10" i="50"/>
  <c r="HA10" i="50"/>
  <c r="HB10" i="50"/>
  <c r="HC10" i="50"/>
  <c r="HD10" i="50"/>
  <c r="HE10" i="50"/>
  <c r="HF10" i="50"/>
  <c r="HG10" i="50"/>
  <c r="HH10" i="50"/>
  <c r="HI10" i="50"/>
  <c r="HJ10" i="50"/>
  <c r="HK10" i="50"/>
  <c r="HL10" i="50"/>
  <c r="HM10" i="50"/>
  <c r="HN10" i="50"/>
  <c r="HO10" i="50"/>
  <c r="HP10" i="50"/>
  <c r="HQ10" i="50"/>
  <c r="HR10" i="50"/>
  <c r="HS10" i="50"/>
  <c r="HT10" i="50"/>
  <c r="HU10" i="50"/>
  <c r="HV10" i="50"/>
  <c r="HW10" i="50"/>
  <c r="HX10" i="50"/>
  <c r="HY10" i="50"/>
  <c r="HZ10" i="50"/>
  <c r="IA10" i="50"/>
  <c r="IB10" i="50"/>
  <c r="IC10" i="50"/>
  <c r="ID10" i="50"/>
  <c r="IE10" i="50"/>
  <c r="IF10" i="50"/>
  <c r="IG10" i="50"/>
  <c r="IH10" i="50"/>
  <c r="II10" i="50"/>
  <c r="IJ10" i="50"/>
  <c r="IK10" i="50"/>
  <c r="IL10" i="50"/>
  <c r="IM10" i="50"/>
  <c r="IN10" i="50"/>
  <c r="IO10" i="50"/>
  <c r="IP10" i="50"/>
  <c r="IQ10" i="50"/>
  <c r="IR10" i="50"/>
  <c r="IS10" i="50"/>
  <c r="IT10" i="50"/>
  <c r="IU10" i="50"/>
  <c r="IV10" i="50"/>
  <c r="F11" i="50"/>
  <c r="G11" i="50"/>
  <c r="H11" i="50"/>
  <c r="I11" i="50"/>
  <c r="J11" i="50"/>
  <c r="K11" i="50"/>
  <c r="L11" i="50"/>
  <c r="M11" i="50"/>
  <c r="N11" i="50"/>
  <c r="O11" i="50"/>
  <c r="P11" i="50"/>
  <c r="Q11" i="50"/>
  <c r="R11" i="50"/>
  <c r="S11" i="50"/>
  <c r="T11" i="50"/>
  <c r="U11" i="50"/>
  <c r="V11" i="50"/>
  <c r="W11" i="50"/>
  <c r="X11" i="50"/>
  <c r="Y11" i="50"/>
  <c r="Z11" i="50"/>
  <c r="AA11" i="50"/>
  <c r="AB11" i="50"/>
  <c r="AC11" i="50"/>
  <c r="AD11" i="50"/>
  <c r="AE11" i="50"/>
  <c r="AF11" i="50"/>
  <c r="AG11" i="50"/>
  <c r="AH11" i="50"/>
  <c r="AI11" i="50"/>
  <c r="AJ11" i="50"/>
  <c r="AK11" i="50"/>
  <c r="AL11" i="50"/>
  <c r="AM11" i="50"/>
  <c r="AN11" i="50"/>
  <c r="AO11" i="50"/>
  <c r="AP11" i="50"/>
  <c r="AQ11" i="50"/>
  <c r="AR11" i="50"/>
  <c r="AS11" i="50"/>
  <c r="AT11" i="50"/>
  <c r="AU11" i="50"/>
  <c r="AV11" i="50"/>
  <c r="AW11" i="50"/>
  <c r="AX11" i="50"/>
  <c r="AY11" i="50"/>
  <c r="AZ11" i="50"/>
  <c r="BA11" i="50"/>
  <c r="BB11" i="50"/>
  <c r="BC11" i="50"/>
  <c r="BD11" i="50"/>
  <c r="BE11" i="50"/>
  <c r="BF11" i="50"/>
  <c r="BG11" i="50"/>
  <c r="BH11" i="50"/>
  <c r="BI11" i="50"/>
  <c r="BJ11" i="50"/>
  <c r="BK11" i="50"/>
  <c r="BL11" i="50"/>
  <c r="BM11" i="50"/>
  <c r="BN11" i="50"/>
  <c r="BO11" i="50"/>
  <c r="BP11" i="50"/>
  <c r="BQ11" i="50"/>
  <c r="BR11" i="50"/>
  <c r="BS11" i="50"/>
  <c r="BT11" i="50"/>
  <c r="BU11" i="50"/>
  <c r="BV11" i="50"/>
  <c r="BW11" i="50"/>
  <c r="BX11" i="50"/>
  <c r="BY11" i="50"/>
  <c r="BZ11" i="50"/>
  <c r="CA11" i="50"/>
  <c r="CB11" i="50"/>
  <c r="CC11" i="50"/>
  <c r="CD11" i="50"/>
  <c r="CE11" i="50"/>
  <c r="CF11" i="50"/>
  <c r="CG11" i="50"/>
  <c r="CH11" i="50"/>
  <c r="CI11" i="50"/>
  <c r="CJ11" i="50"/>
  <c r="CK11" i="50"/>
  <c r="CL11" i="50"/>
  <c r="CM11" i="50"/>
  <c r="CN11" i="50"/>
  <c r="CO11" i="50"/>
  <c r="CP11" i="50"/>
  <c r="CQ11" i="50"/>
  <c r="CR11" i="50"/>
  <c r="CS11" i="50"/>
  <c r="CT11" i="50"/>
  <c r="CU11" i="50"/>
  <c r="CV11" i="50"/>
  <c r="CW11" i="50"/>
  <c r="CX11" i="50"/>
  <c r="CY11" i="50"/>
  <c r="CZ11" i="50"/>
  <c r="DA11" i="50"/>
  <c r="DB11" i="50"/>
  <c r="DC11" i="50"/>
  <c r="DD11" i="50"/>
  <c r="DE11" i="50"/>
  <c r="DF11" i="50"/>
  <c r="DG11" i="50"/>
  <c r="DH11" i="50"/>
  <c r="DI11" i="50"/>
  <c r="DJ11" i="50"/>
  <c r="DK11" i="50"/>
  <c r="DL11" i="50"/>
  <c r="DM11" i="50"/>
  <c r="DN11" i="50"/>
  <c r="DO11" i="50"/>
  <c r="DP11" i="50"/>
  <c r="DQ11" i="50"/>
  <c r="DR11" i="50"/>
  <c r="DS11" i="50"/>
  <c r="DT11" i="50"/>
  <c r="DU11" i="50"/>
  <c r="DV11" i="50"/>
  <c r="DW11" i="50"/>
  <c r="DX11" i="50"/>
  <c r="DY11" i="50"/>
  <c r="DZ11" i="50"/>
  <c r="EA11" i="50"/>
  <c r="EB11" i="50"/>
  <c r="EC11" i="50"/>
  <c r="ED11" i="50"/>
  <c r="EE11" i="50"/>
  <c r="EF11" i="50"/>
  <c r="EG11" i="50"/>
  <c r="EH11" i="50"/>
  <c r="EI11" i="50"/>
  <c r="EJ11" i="50"/>
  <c r="EK11" i="50"/>
  <c r="EL11" i="50"/>
  <c r="EM11" i="50"/>
  <c r="EN11" i="50"/>
  <c r="EO11" i="50"/>
  <c r="EP11" i="50"/>
  <c r="EQ11" i="50"/>
  <c r="ER11" i="50"/>
  <c r="ES11" i="50"/>
  <c r="ET11" i="50"/>
  <c r="EU11" i="50"/>
  <c r="EV11" i="50"/>
  <c r="EW11" i="50"/>
  <c r="EX11" i="50"/>
  <c r="EY11" i="50"/>
  <c r="EZ11" i="50"/>
  <c r="FA11" i="50"/>
  <c r="FB11" i="50"/>
  <c r="FC11" i="50"/>
  <c r="FD11" i="50"/>
  <c r="FE11" i="50"/>
  <c r="FF11" i="50"/>
  <c r="FG11" i="50"/>
  <c r="FH11" i="50"/>
  <c r="FI11" i="50"/>
  <c r="FJ11" i="50"/>
  <c r="FK11" i="50"/>
  <c r="FL11" i="50"/>
  <c r="FM11" i="50"/>
  <c r="FN11" i="50"/>
  <c r="FO11" i="50"/>
  <c r="FP11" i="50"/>
  <c r="FQ11" i="50"/>
  <c r="FR11" i="50"/>
  <c r="FS11" i="50"/>
  <c r="FT11" i="50"/>
  <c r="FU11" i="50"/>
  <c r="FV11" i="50"/>
  <c r="FW11" i="50"/>
  <c r="FX11" i="50"/>
  <c r="FY11" i="50"/>
  <c r="FZ11" i="50"/>
  <c r="GA11" i="50"/>
  <c r="GB11" i="50"/>
  <c r="GC11" i="50"/>
  <c r="GD11" i="50"/>
  <c r="GE11" i="50"/>
  <c r="GF11" i="50"/>
  <c r="GG11" i="50"/>
  <c r="GH11" i="50"/>
  <c r="GI11" i="50"/>
  <c r="GJ11" i="50"/>
  <c r="GK11" i="50"/>
  <c r="GL11" i="50"/>
  <c r="GM11" i="50"/>
  <c r="GN11" i="50"/>
  <c r="GO11" i="50"/>
  <c r="GP11" i="50"/>
  <c r="GQ11" i="50"/>
  <c r="GR11" i="50"/>
  <c r="GS11" i="50"/>
  <c r="GT11" i="50"/>
  <c r="GU11" i="50"/>
  <c r="GV11" i="50"/>
  <c r="GW11" i="50"/>
  <c r="GX11" i="50"/>
  <c r="GY11" i="50"/>
  <c r="GZ11" i="50"/>
  <c r="HA11" i="50"/>
  <c r="HB11" i="50"/>
  <c r="HC11" i="50"/>
  <c r="HD11" i="50"/>
  <c r="HE11" i="50"/>
  <c r="HF11" i="50"/>
  <c r="HG11" i="50"/>
  <c r="HH11" i="50"/>
  <c r="HI11" i="50"/>
  <c r="HJ11" i="50"/>
  <c r="HK11" i="50"/>
  <c r="HL11" i="50"/>
  <c r="HM11" i="50"/>
  <c r="HN11" i="50"/>
  <c r="HO11" i="50"/>
  <c r="HP11" i="50"/>
  <c r="HQ11" i="50"/>
  <c r="HR11" i="50"/>
  <c r="HS11" i="50"/>
  <c r="HT11" i="50"/>
  <c r="HU11" i="50"/>
  <c r="HV11" i="50"/>
  <c r="HW11" i="50"/>
  <c r="HX11" i="50"/>
  <c r="HY11" i="50"/>
  <c r="HZ11" i="50"/>
  <c r="IA11" i="50"/>
  <c r="IB11" i="50"/>
  <c r="IC11" i="50"/>
  <c r="ID11" i="50"/>
  <c r="IE11" i="50"/>
  <c r="IF11" i="50"/>
  <c r="IG11" i="50"/>
  <c r="IH11" i="50"/>
  <c r="II11" i="50"/>
  <c r="IJ11" i="50"/>
  <c r="IK11" i="50"/>
  <c r="IL11" i="50"/>
  <c r="IM11" i="50"/>
  <c r="IN11" i="50"/>
  <c r="IO11" i="50"/>
  <c r="IP11" i="50"/>
  <c r="IQ11" i="50"/>
  <c r="IR11" i="50"/>
  <c r="IS11" i="50"/>
  <c r="IT11" i="50"/>
  <c r="IU11" i="50"/>
  <c r="IV11" i="50"/>
  <c r="F12" i="50"/>
  <c r="G12" i="50"/>
  <c r="H12" i="50"/>
  <c r="I12" i="50"/>
  <c r="J12" i="50"/>
  <c r="K12" i="50"/>
  <c r="L12" i="50"/>
  <c r="M12" i="50"/>
  <c r="N12" i="50"/>
  <c r="O12" i="50"/>
  <c r="P12" i="50"/>
  <c r="Q12" i="50"/>
  <c r="R12" i="50"/>
  <c r="S12" i="50"/>
  <c r="T12" i="50"/>
  <c r="U12" i="50"/>
  <c r="V12" i="50"/>
  <c r="W12" i="50"/>
  <c r="X12" i="50"/>
  <c r="Y12" i="50"/>
  <c r="Z12" i="50"/>
  <c r="AA12" i="50"/>
  <c r="AB12" i="50"/>
  <c r="AC12" i="50"/>
  <c r="AD12" i="50"/>
  <c r="AE12" i="50"/>
  <c r="AF12" i="50"/>
  <c r="AG12" i="50"/>
  <c r="AH12" i="50"/>
  <c r="AI12" i="50"/>
  <c r="AJ12" i="50"/>
  <c r="AK12" i="50"/>
  <c r="AL12" i="50"/>
  <c r="AM12" i="50"/>
  <c r="AN12" i="50"/>
  <c r="AO12" i="50"/>
  <c r="AP12" i="50"/>
  <c r="AQ12" i="50"/>
  <c r="AR12" i="50"/>
  <c r="AS12" i="50"/>
  <c r="AT12" i="50"/>
  <c r="AU12" i="50"/>
  <c r="AV12" i="50"/>
  <c r="AW12" i="50"/>
  <c r="AX12" i="50"/>
  <c r="AY12" i="50"/>
  <c r="AZ12" i="50"/>
  <c r="BA12" i="50"/>
  <c r="BB12" i="50"/>
  <c r="BC12" i="50"/>
  <c r="BD12" i="50"/>
  <c r="BE12" i="50"/>
  <c r="BF12" i="50"/>
  <c r="BG12" i="50"/>
  <c r="BH12" i="50"/>
  <c r="BI12" i="50"/>
  <c r="BJ12" i="50"/>
  <c r="BK12" i="50"/>
  <c r="BL12" i="50"/>
  <c r="BM12" i="50"/>
  <c r="BN12" i="50"/>
  <c r="BO12" i="50"/>
  <c r="BP12" i="50"/>
  <c r="BQ12" i="50"/>
  <c r="BR12" i="50"/>
  <c r="BS12" i="50"/>
  <c r="BT12" i="50"/>
  <c r="BU12" i="50"/>
  <c r="BV12" i="50"/>
  <c r="BW12" i="50"/>
  <c r="BX12" i="50"/>
  <c r="BY12" i="50"/>
  <c r="BZ12" i="50"/>
  <c r="CA12" i="50"/>
  <c r="CB12" i="50"/>
  <c r="CC12" i="50"/>
  <c r="CD12" i="50"/>
  <c r="CE12" i="50"/>
  <c r="CF12" i="50"/>
  <c r="CG12" i="50"/>
  <c r="CH12" i="50"/>
  <c r="CI12" i="50"/>
  <c r="CJ12" i="50"/>
  <c r="CK12" i="50"/>
  <c r="CL12" i="50"/>
  <c r="CM12" i="50"/>
  <c r="CN12" i="50"/>
  <c r="CO12" i="50"/>
  <c r="CP12" i="50"/>
  <c r="CQ12" i="50"/>
  <c r="CR12" i="50"/>
  <c r="CS12" i="50"/>
  <c r="CT12" i="50"/>
  <c r="CU12" i="50"/>
  <c r="CV12" i="50"/>
  <c r="CW12" i="50"/>
  <c r="CX12" i="50"/>
  <c r="CY12" i="50"/>
  <c r="CZ12" i="50"/>
  <c r="DA12" i="50"/>
  <c r="DB12" i="50"/>
  <c r="DC12" i="50"/>
  <c r="DD12" i="50"/>
  <c r="DE12" i="50"/>
  <c r="DF12" i="50"/>
  <c r="DG12" i="50"/>
  <c r="DH12" i="50"/>
  <c r="DI12" i="50"/>
  <c r="DJ12" i="50"/>
  <c r="DK12" i="50"/>
  <c r="DL12" i="50"/>
  <c r="DM12" i="50"/>
  <c r="DN12" i="50"/>
  <c r="DO12" i="50"/>
  <c r="DP12" i="50"/>
  <c r="DQ12" i="50"/>
  <c r="DR12" i="50"/>
  <c r="DS12" i="50"/>
  <c r="DT12" i="50"/>
  <c r="DU12" i="50"/>
  <c r="DV12" i="50"/>
  <c r="DW12" i="50"/>
  <c r="DX12" i="50"/>
  <c r="DY12" i="50"/>
  <c r="DZ12" i="50"/>
  <c r="EA12" i="50"/>
  <c r="EB12" i="50"/>
  <c r="EC12" i="50"/>
  <c r="ED12" i="50"/>
  <c r="EE12" i="50"/>
  <c r="EF12" i="50"/>
  <c r="EG12" i="50"/>
  <c r="EH12" i="50"/>
  <c r="EI12" i="50"/>
  <c r="EJ12" i="50"/>
  <c r="EK12" i="50"/>
  <c r="EL12" i="50"/>
  <c r="EM12" i="50"/>
  <c r="EN12" i="50"/>
  <c r="EO12" i="50"/>
  <c r="EP12" i="50"/>
  <c r="EQ12" i="50"/>
  <c r="ER12" i="50"/>
  <c r="ES12" i="50"/>
  <c r="ET12" i="50"/>
  <c r="EU12" i="50"/>
  <c r="EV12" i="50"/>
  <c r="EW12" i="50"/>
  <c r="EX12" i="50"/>
  <c r="EY12" i="50"/>
  <c r="EZ12" i="50"/>
  <c r="FA12" i="50"/>
  <c r="FB12" i="50"/>
  <c r="FC12" i="50"/>
  <c r="FD12" i="50"/>
  <c r="FE12" i="50"/>
  <c r="FF12" i="50"/>
  <c r="FG12" i="50"/>
  <c r="FH12" i="50"/>
  <c r="FI12" i="50"/>
  <c r="FJ12" i="50"/>
  <c r="FK12" i="50"/>
  <c r="FL12" i="50"/>
  <c r="FM12" i="50"/>
  <c r="FN12" i="50"/>
  <c r="FO12" i="50"/>
  <c r="FP12" i="50"/>
  <c r="FQ12" i="50"/>
  <c r="FR12" i="50"/>
  <c r="FS12" i="50"/>
  <c r="FT12" i="50"/>
  <c r="FU12" i="50"/>
  <c r="FV12" i="50"/>
  <c r="FW12" i="50"/>
  <c r="FX12" i="50"/>
  <c r="FY12" i="50"/>
  <c r="FZ12" i="50"/>
  <c r="GA12" i="50"/>
  <c r="GB12" i="50"/>
  <c r="GC12" i="50"/>
  <c r="GD12" i="50"/>
  <c r="GE12" i="50"/>
  <c r="GF12" i="50"/>
  <c r="GG12" i="50"/>
  <c r="GH12" i="50"/>
  <c r="GI12" i="50"/>
  <c r="GJ12" i="50"/>
  <c r="GK12" i="50"/>
  <c r="GL12" i="50"/>
  <c r="GM12" i="50"/>
  <c r="GN12" i="50"/>
  <c r="GO12" i="50"/>
  <c r="GP12" i="50"/>
  <c r="GQ12" i="50"/>
  <c r="GR12" i="50"/>
  <c r="GS12" i="50"/>
  <c r="GT12" i="50"/>
  <c r="GU12" i="50"/>
  <c r="GV12" i="50"/>
  <c r="GW12" i="50"/>
  <c r="GX12" i="50"/>
  <c r="GY12" i="50"/>
  <c r="GZ12" i="50"/>
  <c r="HA12" i="50"/>
  <c r="HB12" i="50"/>
  <c r="HC12" i="50"/>
  <c r="HD12" i="50"/>
  <c r="HE12" i="50"/>
  <c r="HF12" i="50"/>
  <c r="HG12" i="50"/>
  <c r="HH12" i="50"/>
  <c r="HI12" i="50"/>
  <c r="HJ12" i="50"/>
  <c r="HK12" i="50"/>
  <c r="HL12" i="50"/>
  <c r="HM12" i="50"/>
  <c r="HN12" i="50"/>
  <c r="HO12" i="50"/>
  <c r="HP12" i="50"/>
  <c r="HQ12" i="50"/>
  <c r="HR12" i="50"/>
  <c r="HS12" i="50"/>
  <c r="HT12" i="50"/>
  <c r="HU12" i="50"/>
  <c r="HV12" i="50"/>
  <c r="HW12" i="50"/>
  <c r="HX12" i="50"/>
  <c r="HY12" i="50"/>
  <c r="HZ12" i="50"/>
  <c r="IA12" i="50"/>
  <c r="IB12" i="50"/>
  <c r="IC12" i="50"/>
  <c r="ID12" i="50"/>
  <c r="IE12" i="50"/>
  <c r="IF12" i="50"/>
  <c r="IG12" i="50"/>
  <c r="IH12" i="50"/>
  <c r="II12" i="50"/>
  <c r="IJ12" i="50"/>
  <c r="IK12" i="50"/>
  <c r="IL12" i="50"/>
  <c r="IM12" i="50"/>
  <c r="IN12" i="50"/>
  <c r="IO12" i="50"/>
  <c r="IP12" i="50"/>
  <c r="IQ12" i="50"/>
  <c r="IR12" i="50"/>
  <c r="IS12" i="50"/>
  <c r="IT12" i="50"/>
  <c r="IU12" i="50"/>
  <c r="IV12" i="50"/>
  <c r="F13" i="50"/>
  <c r="G13" i="50"/>
  <c r="H13" i="50"/>
  <c r="I13" i="50"/>
  <c r="J13" i="50"/>
  <c r="K13" i="50"/>
  <c r="L13" i="50"/>
  <c r="M13" i="50"/>
  <c r="N13" i="50"/>
  <c r="O13" i="50"/>
  <c r="P13" i="50"/>
  <c r="Q13" i="50"/>
  <c r="R13" i="50"/>
  <c r="S13" i="50"/>
  <c r="T13" i="50"/>
  <c r="U13" i="50"/>
  <c r="V13" i="50"/>
  <c r="W13" i="50"/>
  <c r="X13" i="50"/>
  <c r="Y13" i="50"/>
  <c r="Z13" i="50"/>
  <c r="AA13" i="50"/>
  <c r="AB13" i="50"/>
  <c r="AC13" i="50"/>
  <c r="AD13" i="50"/>
  <c r="AE13" i="50"/>
  <c r="AF13" i="50"/>
  <c r="AG13" i="50"/>
  <c r="AH13" i="50"/>
  <c r="AI13" i="50"/>
  <c r="AJ13" i="50"/>
  <c r="AK13" i="50"/>
  <c r="AL13" i="50"/>
  <c r="AM13" i="50"/>
  <c r="AN13" i="50"/>
  <c r="AO13" i="50"/>
  <c r="AP13" i="50"/>
  <c r="AQ13" i="50"/>
  <c r="AR13" i="50"/>
  <c r="AS13" i="50"/>
  <c r="AT13" i="50"/>
  <c r="AU13" i="50"/>
  <c r="AV13" i="50"/>
  <c r="AW13" i="50"/>
  <c r="AX13" i="50"/>
  <c r="AY13" i="50"/>
  <c r="AZ13" i="50"/>
  <c r="BA13" i="50"/>
  <c r="BB13" i="50"/>
  <c r="BC13" i="50"/>
  <c r="BD13" i="50"/>
  <c r="BE13" i="50"/>
  <c r="BF13" i="50"/>
  <c r="BG13" i="50"/>
  <c r="BH13" i="50"/>
  <c r="BI13" i="50"/>
  <c r="BJ13" i="50"/>
  <c r="BK13" i="50"/>
  <c r="BL13" i="50"/>
  <c r="BM13" i="50"/>
  <c r="BN13" i="50"/>
  <c r="BO13" i="50"/>
  <c r="BP13" i="50"/>
  <c r="BQ13" i="50"/>
  <c r="BR13" i="50"/>
  <c r="BS13" i="50"/>
  <c r="BT13" i="50"/>
  <c r="BU13" i="50"/>
  <c r="BV13" i="50"/>
  <c r="BW13" i="50"/>
  <c r="BX13" i="50"/>
  <c r="BY13" i="50"/>
  <c r="BZ13" i="50"/>
  <c r="CA13" i="50"/>
  <c r="CB13" i="50"/>
  <c r="CC13" i="50"/>
  <c r="CD13" i="50"/>
  <c r="CE13" i="50"/>
  <c r="CF13" i="50"/>
  <c r="CG13" i="50"/>
  <c r="CH13" i="50"/>
  <c r="CI13" i="50"/>
  <c r="CJ13" i="50"/>
  <c r="CK13" i="50"/>
  <c r="CL13" i="50"/>
  <c r="CM13" i="50"/>
  <c r="CN13" i="50"/>
  <c r="CO13" i="50"/>
  <c r="CP13" i="50"/>
  <c r="CQ13" i="50"/>
  <c r="CR13" i="50"/>
  <c r="CS13" i="50"/>
  <c r="CT13" i="50"/>
  <c r="CU13" i="50"/>
  <c r="CV13" i="50"/>
  <c r="CW13" i="50"/>
  <c r="CX13" i="50"/>
  <c r="CY13" i="50"/>
  <c r="CZ13" i="50"/>
  <c r="DA13" i="50"/>
  <c r="DB13" i="50"/>
  <c r="DC13" i="50"/>
  <c r="DD13" i="50"/>
  <c r="DE13" i="50"/>
  <c r="DF13" i="50"/>
  <c r="DG13" i="50"/>
  <c r="DH13" i="50"/>
  <c r="DI13" i="50"/>
  <c r="DJ13" i="50"/>
  <c r="DK13" i="50"/>
  <c r="DL13" i="50"/>
  <c r="DM13" i="50"/>
  <c r="DN13" i="50"/>
  <c r="DO13" i="50"/>
  <c r="DP13" i="50"/>
  <c r="DQ13" i="50"/>
  <c r="DR13" i="50"/>
  <c r="DS13" i="50"/>
  <c r="DT13" i="50"/>
  <c r="DU13" i="50"/>
  <c r="DV13" i="50"/>
  <c r="DW13" i="50"/>
  <c r="DX13" i="50"/>
  <c r="DY13" i="50"/>
  <c r="DZ13" i="50"/>
  <c r="EA13" i="50"/>
  <c r="EB13" i="50"/>
  <c r="EC13" i="50"/>
  <c r="ED13" i="50"/>
  <c r="EE13" i="50"/>
  <c r="EF13" i="50"/>
  <c r="EG13" i="50"/>
  <c r="EH13" i="50"/>
  <c r="EI13" i="50"/>
  <c r="EJ13" i="50"/>
  <c r="EK13" i="50"/>
  <c r="EL13" i="50"/>
  <c r="EM13" i="50"/>
  <c r="EN13" i="50"/>
  <c r="EO13" i="50"/>
  <c r="EP13" i="50"/>
  <c r="EQ13" i="50"/>
  <c r="ER13" i="50"/>
  <c r="ES13" i="50"/>
  <c r="ET13" i="50"/>
  <c r="EU13" i="50"/>
  <c r="EV13" i="50"/>
  <c r="EW13" i="50"/>
  <c r="EX13" i="50"/>
  <c r="EY13" i="50"/>
  <c r="EZ13" i="50"/>
  <c r="FA13" i="50"/>
  <c r="FB13" i="50"/>
  <c r="FC13" i="50"/>
  <c r="FD13" i="50"/>
  <c r="FE13" i="50"/>
  <c r="FF13" i="50"/>
  <c r="FG13" i="50"/>
  <c r="FH13" i="50"/>
  <c r="FI13" i="50"/>
  <c r="FJ13" i="50"/>
  <c r="FK13" i="50"/>
  <c r="FL13" i="50"/>
  <c r="FM13" i="50"/>
  <c r="FN13" i="50"/>
  <c r="FO13" i="50"/>
  <c r="FP13" i="50"/>
  <c r="FQ13" i="50"/>
  <c r="FR13" i="50"/>
  <c r="FS13" i="50"/>
  <c r="FT13" i="50"/>
  <c r="FU13" i="50"/>
  <c r="FV13" i="50"/>
  <c r="FW13" i="50"/>
  <c r="FX13" i="50"/>
  <c r="FY13" i="50"/>
  <c r="FZ13" i="50"/>
  <c r="GA13" i="50"/>
  <c r="GB13" i="50"/>
  <c r="GC13" i="50"/>
  <c r="GD13" i="50"/>
  <c r="GE13" i="50"/>
  <c r="GF13" i="50"/>
  <c r="GG13" i="50"/>
  <c r="GH13" i="50"/>
  <c r="GI13" i="50"/>
  <c r="GJ13" i="50"/>
  <c r="GK13" i="50"/>
  <c r="GL13" i="50"/>
  <c r="GM13" i="50"/>
  <c r="GN13" i="50"/>
  <c r="GO13" i="50"/>
  <c r="GP13" i="50"/>
  <c r="GQ13" i="50"/>
  <c r="GR13" i="50"/>
  <c r="GS13" i="50"/>
  <c r="GT13" i="50"/>
  <c r="GU13" i="50"/>
  <c r="GV13" i="50"/>
  <c r="GW13" i="50"/>
  <c r="GX13" i="50"/>
  <c r="GY13" i="50"/>
  <c r="GZ13" i="50"/>
  <c r="HA13" i="50"/>
  <c r="HB13" i="50"/>
  <c r="HC13" i="50"/>
  <c r="HD13" i="50"/>
  <c r="HE13" i="50"/>
  <c r="HF13" i="50"/>
  <c r="HG13" i="50"/>
  <c r="HH13" i="50"/>
  <c r="HI13" i="50"/>
  <c r="HJ13" i="50"/>
  <c r="HK13" i="50"/>
  <c r="HL13" i="50"/>
  <c r="HM13" i="50"/>
  <c r="HN13" i="50"/>
  <c r="HO13" i="50"/>
  <c r="HP13" i="50"/>
  <c r="HQ13" i="50"/>
  <c r="HR13" i="50"/>
  <c r="HS13" i="50"/>
  <c r="HT13" i="50"/>
  <c r="HU13" i="50"/>
  <c r="HV13" i="50"/>
  <c r="HW13" i="50"/>
  <c r="HX13" i="50"/>
  <c r="HY13" i="50"/>
  <c r="HZ13" i="50"/>
  <c r="IA13" i="50"/>
  <c r="IB13" i="50"/>
  <c r="IC13" i="50"/>
  <c r="ID13" i="50"/>
  <c r="IE13" i="50"/>
  <c r="IF13" i="50"/>
  <c r="IG13" i="50"/>
  <c r="IH13" i="50"/>
  <c r="II13" i="50"/>
  <c r="IJ13" i="50"/>
  <c r="IK13" i="50"/>
  <c r="IL13" i="50"/>
  <c r="IM13" i="50"/>
  <c r="IN13" i="50"/>
  <c r="IO13" i="50"/>
  <c r="IP13" i="50"/>
  <c r="IQ13" i="50"/>
  <c r="IR13" i="50"/>
  <c r="IS13" i="50"/>
  <c r="IT13" i="50"/>
  <c r="IU13" i="50"/>
  <c r="IV13" i="50"/>
  <c r="F14" i="50"/>
  <c r="G14" i="50"/>
  <c r="H14" i="50"/>
  <c r="I14" i="50"/>
  <c r="J14" i="50"/>
  <c r="K14" i="50"/>
  <c r="L14" i="50"/>
  <c r="M14" i="50"/>
  <c r="N14" i="50"/>
  <c r="O14" i="50"/>
  <c r="P14" i="50"/>
  <c r="Q14" i="50"/>
  <c r="R14" i="50"/>
  <c r="S14" i="50"/>
  <c r="T14" i="50"/>
  <c r="U14" i="50"/>
  <c r="V14" i="50"/>
  <c r="W14" i="50"/>
  <c r="X14" i="50"/>
  <c r="Y14" i="50"/>
  <c r="Z14" i="50"/>
  <c r="AA14" i="50"/>
  <c r="AB14" i="50"/>
  <c r="AC14" i="50"/>
  <c r="AD14" i="50"/>
  <c r="AE14" i="50"/>
  <c r="AF14" i="50"/>
  <c r="AG14" i="50"/>
  <c r="AH14" i="50"/>
  <c r="AI14" i="50"/>
  <c r="AJ14" i="50"/>
  <c r="AK14" i="50"/>
  <c r="AL14" i="50"/>
  <c r="AM14" i="50"/>
  <c r="AN14" i="50"/>
  <c r="AO14" i="50"/>
  <c r="AP14" i="50"/>
  <c r="AQ14" i="50"/>
  <c r="AR14" i="50"/>
  <c r="AS14" i="50"/>
  <c r="AT14" i="50"/>
  <c r="AU14" i="50"/>
  <c r="AV14" i="50"/>
  <c r="AW14" i="50"/>
  <c r="AX14" i="50"/>
  <c r="AY14" i="50"/>
  <c r="AZ14" i="50"/>
  <c r="BA14" i="50"/>
  <c r="BB14" i="50"/>
  <c r="BC14" i="50"/>
  <c r="BD14" i="50"/>
  <c r="BE14" i="50"/>
  <c r="BF14" i="50"/>
  <c r="BG14" i="50"/>
  <c r="BH14" i="50"/>
  <c r="BI14" i="50"/>
  <c r="BJ14" i="50"/>
  <c r="BK14" i="50"/>
  <c r="BL14" i="50"/>
  <c r="BM14" i="50"/>
  <c r="BN14" i="50"/>
  <c r="BO14" i="50"/>
  <c r="BP14" i="50"/>
  <c r="BQ14" i="50"/>
  <c r="BR14" i="50"/>
  <c r="BS14" i="50"/>
  <c r="BT14" i="50"/>
  <c r="BU14" i="50"/>
  <c r="BV14" i="50"/>
  <c r="BW14" i="50"/>
  <c r="BX14" i="50"/>
  <c r="BY14" i="50"/>
  <c r="BZ14" i="50"/>
  <c r="CA14" i="50"/>
  <c r="CB14" i="50"/>
  <c r="CC14" i="50"/>
  <c r="CD14" i="50"/>
  <c r="CE14" i="50"/>
  <c r="CF14" i="50"/>
  <c r="CG14" i="50"/>
  <c r="CH14" i="50"/>
  <c r="CI14" i="50"/>
  <c r="CJ14" i="50"/>
  <c r="CK14" i="50"/>
  <c r="CL14" i="50"/>
  <c r="CM14" i="50"/>
  <c r="CN14" i="50"/>
  <c r="CO14" i="50"/>
  <c r="CP14" i="50"/>
  <c r="CQ14" i="50"/>
  <c r="CR14" i="50"/>
  <c r="CS14" i="50"/>
  <c r="CT14" i="50"/>
  <c r="CU14" i="50"/>
  <c r="CV14" i="50"/>
  <c r="CW14" i="50"/>
  <c r="CX14" i="50"/>
  <c r="CY14" i="50"/>
  <c r="CZ14" i="50"/>
  <c r="DA14" i="50"/>
  <c r="DB14" i="50"/>
  <c r="DC14" i="50"/>
  <c r="DD14" i="50"/>
  <c r="DE14" i="50"/>
  <c r="DF14" i="50"/>
  <c r="DG14" i="50"/>
  <c r="DH14" i="50"/>
  <c r="DI14" i="50"/>
  <c r="DJ14" i="50"/>
  <c r="DK14" i="50"/>
  <c r="DL14" i="50"/>
  <c r="DM14" i="50"/>
  <c r="DN14" i="50"/>
  <c r="DO14" i="50"/>
  <c r="DP14" i="50"/>
  <c r="DQ14" i="50"/>
  <c r="DR14" i="50"/>
  <c r="DS14" i="50"/>
  <c r="DT14" i="50"/>
  <c r="DU14" i="50"/>
  <c r="DV14" i="50"/>
  <c r="DW14" i="50"/>
  <c r="DX14" i="50"/>
  <c r="DY14" i="50"/>
  <c r="DZ14" i="50"/>
  <c r="EA14" i="50"/>
  <c r="EB14" i="50"/>
  <c r="EC14" i="50"/>
  <c r="ED14" i="50"/>
  <c r="EE14" i="50"/>
  <c r="EF14" i="50"/>
  <c r="EG14" i="50"/>
  <c r="EH14" i="50"/>
  <c r="EI14" i="50"/>
  <c r="EJ14" i="50"/>
  <c r="EK14" i="50"/>
  <c r="EL14" i="50"/>
  <c r="EM14" i="50"/>
  <c r="EN14" i="50"/>
  <c r="EO14" i="50"/>
  <c r="EP14" i="50"/>
  <c r="EQ14" i="50"/>
  <c r="ER14" i="50"/>
  <c r="ES14" i="50"/>
  <c r="ET14" i="50"/>
  <c r="EU14" i="50"/>
  <c r="EV14" i="50"/>
  <c r="EW14" i="50"/>
  <c r="EX14" i="50"/>
  <c r="EY14" i="50"/>
  <c r="EZ14" i="50"/>
  <c r="FA14" i="50"/>
  <c r="FB14" i="50"/>
  <c r="FC14" i="50"/>
  <c r="FD14" i="50"/>
  <c r="FE14" i="50"/>
  <c r="FF14" i="50"/>
  <c r="FG14" i="50"/>
  <c r="FH14" i="50"/>
  <c r="FI14" i="50"/>
  <c r="FJ14" i="50"/>
  <c r="FK14" i="50"/>
  <c r="FL14" i="50"/>
  <c r="FM14" i="50"/>
  <c r="FN14" i="50"/>
  <c r="FO14" i="50"/>
  <c r="FP14" i="50"/>
  <c r="FQ14" i="50"/>
  <c r="FR14" i="50"/>
  <c r="FS14" i="50"/>
  <c r="FT14" i="50"/>
  <c r="FU14" i="50"/>
  <c r="FV14" i="50"/>
  <c r="FW14" i="50"/>
  <c r="FX14" i="50"/>
  <c r="FY14" i="50"/>
  <c r="FZ14" i="50"/>
  <c r="GA14" i="50"/>
  <c r="GB14" i="50"/>
  <c r="GC14" i="50"/>
  <c r="GD14" i="50"/>
  <c r="GE14" i="50"/>
  <c r="GF14" i="50"/>
  <c r="GG14" i="50"/>
  <c r="GH14" i="50"/>
  <c r="GI14" i="50"/>
  <c r="GJ14" i="50"/>
  <c r="GK14" i="50"/>
  <c r="GL14" i="50"/>
  <c r="GM14" i="50"/>
  <c r="GN14" i="50"/>
  <c r="GO14" i="50"/>
  <c r="GP14" i="50"/>
  <c r="GQ14" i="50"/>
  <c r="GR14" i="50"/>
  <c r="GS14" i="50"/>
  <c r="GT14" i="50"/>
  <c r="GU14" i="50"/>
  <c r="GV14" i="50"/>
  <c r="GW14" i="50"/>
  <c r="GX14" i="50"/>
  <c r="GY14" i="50"/>
  <c r="GZ14" i="50"/>
  <c r="HA14" i="50"/>
  <c r="HB14" i="50"/>
  <c r="HC14" i="50"/>
  <c r="HD14" i="50"/>
  <c r="HE14" i="50"/>
  <c r="HF14" i="50"/>
  <c r="HG14" i="50"/>
  <c r="HH14" i="50"/>
  <c r="HI14" i="50"/>
  <c r="HJ14" i="50"/>
  <c r="HK14" i="50"/>
  <c r="HL14" i="50"/>
  <c r="HM14" i="50"/>
  <c r="HN14" i="50"/>
  <c r="HO14" i="50"/>
  <c r="HP14" i="50"/>
  <c r="HQ14" i="50"/>
  <c r="HR14" i="50"/>
  <c r="HS14" i="50"/>
  <c r="HT14" i="50"/>
  <c r="HU14" i="50"/>
  <c r="HV14" i="50"/>
  <c r="HW14" i="50"/>
  <c r="HX14" i="50"/>
  <c r="HY14" i="50"/>
  <c r="HZ14" i="50"/>
  <c r="IA14" i="50"/>
  <c r="IB14" i="50"/>
  <c r="IC14" i="50"/>
  <c r="ID14" i="50"/>
  <c r="IE14" i="50"/>
  <c r="IF14" i="50"/>
  <c r="IG14" i="50"/>
  <c r="IH14" i="50"/>
  <c r="II14" i="50"/>
  <c r="IJ14" i="50"/>
  <c r="IK14" i="50"/>
  <c r="IL14" i="50"/>
  <c r="IM14" i="50"/>
  <c r="IN14" i="50"/>
  <c r="IO14" i="50"/>
  <c r="IP14" i="50"/>
  <c r="IQ14" i="50"/>
  <c r="IR14" i="50"/>
  <c r="IS14" i="50"/>
  <c r="IT14" i="50"/>
  <c r="IU14" i="50"/>
  <c r="IV14" i="50"/>
  <c r="F15" i="50"/>
  <c r="G15" i="50"/>
  <c r="H15" i="50"/>
  <c r="I15" i="50"/>
  <c r="J15" i="50"/>
  <c r="K15" i="50"/>
  <c r="L15" i="50"/>
  <c r="M15" i="50"/>
  <c r="N15" i="50"/>
  <c r="O15" i="50"/>
  <c r="P15" i="50"/>
  <c r="Q15" i="50"/>
  <c r="R15" i="50"/>
  <c r="S15" i="50"/>
  <c r="T15" i="50"/>
  <c r="U15" i="50"/>
  <c r="V15" i="50"/>
  <c r="W15" i="50"/>
  <c r="X15" i="50"/>
  <c r="Y15" i="50"/>
  <c r="Z15" i="50"/>
  <c r="AA15" i="50"/>
  <c r="AB15" i="50"/>
  <c r="AC15" i="50"/>
  <c r="AD15" i="50"/>
  <c r="AE15" i="50"/>
  <c r="AF15" i="50"/>
  <c r="AG15" i="50"/>
  <c r="AH15" i="50"/>
  <c r="AI15" i="50"/>
  <c r="AJ15" i="50"/>
  <c r="AK15" i="50"/>
  <c r="AL15" i="50"/>
  <c r="AM15" i="50"/>
  <c r="AN15" i="50"/>
  <c r="AO15" i="50"/>
  <c r="AP15" i="50"/>
  <c r="AQ15" i="50"/>
  <c r="AR15" i="50"/>
  <c r="AS15" i="50"/>
  <c r="AT15" i="50"/>
  <c r="AU15" i="50"/>
  <c r="AV15" i="50"/>
  <c r="AW15" i="50"/>
  <c r="AX15" i="50"/>
  <c r="AY15" i="50"/>
  <c r="AZ15" i="50"/>
  <c r="BA15" i="50"/>
  <c r="BB15" i="50"/>
  <c r="BC15" i="50"/>
  <c r="BD15" i="50"/>
  <c r="BE15" i="50"/>
  <c r="BF15" i="50"/>
  <c r="BG15" i="50"/>
  <c r="BH15" i="50"/>
  <c r="BI15" i="50"/>
  <c r="BJ15" i="50"/>
  <c r="BK15" i="50"/>
  <c r="BL15" i="50"/>
  <c r="BM15" i="50"/>
  <c r="BN15" i="50"/>
  <c r="BO15" i="50"/>
  <c r="BP15" i="50"/>
  <c r="BQ15" i="50"/>
  <c r="BR15" i="50"/>
  <c r="BS15" i="50"/>
  <c r="BT15" i="50"/>
  <c r="BU15" i="50"/>
  <c r="BV15" i="50"/>
  <c r="BW15" i="50"/>
  <c r="BX15" i="50"/>
  <c r="BY15" i="50"/>
  <c r="BZ15" i="50"/>
  <c r="CA15" i="50"/>
  <c r="CB15" i="50"/>
  <c r="CC15" i="50"/>
  <c r="CD15" i="50"/>
  <c r="CE15" i="50"/>
  <c r="CF15" i="50"/>
  <c r="CG15" i="50"/>
  <c r="CH15" i="50"/>
  <c r="CI15" i="50"/>
  <c r="CJ15" i="50"/>
  <c r="CK15" i="50"/>
  <c r="CL15" i="50"/>
  <c r="CM15" i="50"/>
  <c r="CN15" i="50"/>
  <c r="CO15" i="50"/>
  <c r="CP15" i="50"/>
  <c r="CQ15" i="50"/>
  <c r="CR15" i="50"/>
  <c r="CS15" i="50"/>
  <c r="CT15" i="50"/>
  <c r="CU15" i="50"/>
  <c r="CV15" i="50"/>
  <c r="CW15" i="50"/>
  <c r="CX15" i="50"/>
  <c r="CY15" i="50"/>
  <c r="CZ15" i="50"/>
  <c r="DA15" i="50"/>
  <c r="DB15" i="50"/>
  <c r="DC15" i="50"/>
  <c r="DD15" i="50"/>
  <c r="DE15" i="50"/>
  <c r="DF15" i="50"/>
  <c r="DG15" i="50"/>
  <c r="DH15" i="50"/>
  <c r="DI15" i="50"/>
  <c r="DJ15" i="50"/>
  <c r="DK15" i="50"/>
  <c r="DL15" i="50"/>
  <c r="DM15" i="50"/>
  <c r="DN15" i="50"/>
  <c r="DO15" i="50"/>
  <c r="DP15" i="50"/>
  <c r="DQ15" i="50"/>
  <c r="DR15" i="50"/>
  <c r="DS15" i="50"/>
  <c r="DT15" i="50"/>
  <c r="DU15" i="50"/>
  <c r="DV15" i="50"/>
  <c r="DW15" i="50"/>
  <c r="DX15" i="50"/>
  <c r="DY15" i="50"/>
  <c r="DZ15" i="50"/>
  <c r="EA15" i="50"/>
  <c r="EB15" i="50"/>
  <c r="EC15" i="50"/>
  <c r="ED15" i="50"/>
  <c r="EE15" i="50"/>
  <c r="EF15" i="50"/>
  <c r="EG15" i="50"/>
  <c r="EH15" i="50"/>
  <c r="EI15" i="50"/>
  <c r="EJ15" i="50"/>
  <c r="EK15" i="50"/>
  <c r="EL15" i="50"/>
  <c r="EM15" i="50"/>
  <c r="EN15" i="50"/>
  <c r="EO15" i="50"/>
  <c r="EP15" i="50"/>
  <c r="EQ15" i="50"/>
  <c r="ER15" i="50"/>
  <c r="ES15" i="50"/>
  <c r="ET15" i="50"/>
  <c r="EU15" i="50"/>
  <c r="EV15" i="50"/>
  <c r="EW15" i="50"/>
  <c r="EX15" i="50"/>
  <c r="EY15" i="50"/>
  <c r="EZ15" i="50"/>
  <c r="FA15" i="50"/>
  <c r="FB15" i="50"/>
  <c r="FC15" i="50"/>
  <c r="FD15" i="50"/>
  <c r="FE15" i="50"/>
  <c r="FF15" i="50"/>
  <c r="FG15" i="50"/>
  <c r="FH15" i="50"/>
  <c r="FI15" i="50"/>
  <c r="FJ15" i="50"/>
  <c r="FK15" i="50"/>
  <c r="FL15" i="50"/>
  <c r="FM15" i="50"/>
  <c r="FN15" i="50"/>
  <c r="FO15" i="50"/>
  <c r="FP15" i="50"/>
  <c r="FQ15" i="50"/>
  <c r="FR15" i="50"/>
  <c r="FS15" i="50"/>
  <c r="FT15" i="50"/>
  <c r="FU15" i="50"/>
  <c r="FV15" i="50"/>
  <c r="FW15" i="50"/>
  <c r="FX15" i="50"/>
  <c r="FY15" i="50"/>
  <c r="FZ15" i="50"/>
  <c r="GA15" i="50"/>
  <c r="GB15" i="50"/>
  <c r="GC15" i="50"/>
  <c r="GD15" i="50"/>
  <c r="GE15" i="50"/>
  <c r="GF15" i="50"/>
  <c r="GG15" i="50"/>
  <c r="GH15" i="50"/>
  <c r="GI15" i="50"/>
  <c r="GJ15" i="50"/>
  <c r="GK15" i="50"/>
  <c r="GL15" i="50"/>
  <c r="GM15" i="50"/>
  <c r="GN15" i="50"/>
  <c r="GO15" i="50"/>
  <c r="GP15" i="50"/>
  <c r="GQ15" i="50"/>
  <c r="GR15" i="50"/>
  <c r="GS15" i="50"/>
  <c r="GT15" i="50"/>
  <c r="GU15" i="50"/>
  <c r="GV15" i="50"/>
  <c r="GW15" i="50"/>
  <c r="GX15" i="50"/>
  <c r="GY15" i="50"/>
  <c r="GZ15" i="50"/>
  <c r="HA15" i="50"/>
  <c r="HB15" i="50"/>
  <c r="HC15" i="50"/>
  <c r="HD15" i="50"/>
  <c r="HE15" i="50"/>
  <c r="HF15" i="50"/>
  <c r="HG15" i="50"/>
  <c r="HH15" i="50"/>
  <c r="HI15" i="50"/>
  <c r="HJ15" i="50"/>
  <c r="HK15" i="50"/>
  <c r="HL15" i="50"/>
  <c r="HM15" i="50"/>
  <c r="HN15" i="50"/>
  <c r="HO15" i="50"/>
  <c r="HP15" i="50"/>
  <c r="HQ15" i="50"/>
  <c r="HR15" i="50"/>
  <c r="HS15" i="50"/>
  <c r="HT15" i="50"/>
  <c r="HU15" i="50"/>
  <c r="HV15" i="50"/>
  <c r="HW15" i="50"/>
  <c r="HX15" i="50"/>
  <c r="HY15" i="50"/>
  <c r="HZ15" i="50"/>
  <c r="IA15" i="50"/>
  <c r="IB15" i="50"/>
  <c r="IC15" i="50"/>
  <c r="ID15" i="50"/>
  <c r="IE15" i="50"/>
  <c r="IF15" i="50"/>
  <c r="IG15" i="50"/>
  <c r="IH15" i="50"/>
  <c r="II15" i="50"/>
  <c r="IJ15" i="50"/>
  <c r="IK15" i="50"/>
  <c r="IL15" i="50"/>
  <c r="IM15" i="50"/>
  <c r="IN15" i="50"/>
  <c r="IO15" i="50"/>
  <c r="IP15" i="50"/>
  <c r="IQ15" i="50"/>
  <c r="IR15" i="50"/>
  <c r="IS15" i="50"/>
  <c r="IT15" i="50"/>
  <c r="IU15" i="50"/>
  <c r="IV15" i="50"/>
  <c r="F16" i="50"/>
  <c r="G16" i="50"/>
  <c r="H16" i="50"/>
  <c r="I16" i="50"/>
  <c r="J16" i="50"/>
  <c r="K16" i="50"/>
  <c r="L16" i="50"/>
  <c r="M16" i="50"/>
  <c r="N16" i="50"/>
  <c r="O16" i="50"/>
  <c r="P16" i="50"/>
  <c r="Q16" i="50"/>
  <c r="R16" i="50"/>
  <c r="S16" i="50"/>
  <c r="T16" i="50"/>
  <c r="U16" i="50"/>
  <c r="V16" i="50"/>
  <c r="W16" i="50"/>
  <c r="X16" i="50"/>
  <c r="Y16" i="50"/>
  <c r="Z16" i="50"/>
  <c r="AA16" i="50"/>
  <c r="AB16" i="50"/>
  <c r="AC16" i="50"/>
  <c r="AD16" i="50"/>
  <c r="AE16" i="50"/>
  <c r="AF16" i="50"/>
  <c r="AG16" i="50"/>
  <c r="AH16" i="50"/>
  <c r="AI16" i="50"/>
  <c r="AJ16" i="50"/>
  <c r="AK16" i="50"/>
  <c r="AL16" i="50"/>
  <c r="AM16" i="50"/>
  <c r="AN16" i="50"/>
  <c r="AO16" i="50"/>
  <c r="AP16" i="50"/>
  <c r="AQ16" i="50"/>
  <c r="AR16" i="50"/>
  <c r="AS16" i="50"/>
  <c r="AT16" i="50"/>
  <c r="AU16" i="50"/>
  <c r="AV16" i="50"/>
  <c r="AW16" i="50"/>
  <c r="AX16" i="50"/>
  <c r="AY16" i="50"/>
  <c r="AZ16" i="50"/>
  <c r="BA16" i="50"/>
  <c r="BB16" i="50"/>
  <c r="BC16" i="50"/>
  <c r="BD16" i="50"/>
  <c r="BE16" i="50"/>
  <c r="BF16" i="50"/>
  <c r="BG16" i="50"/>
  <c r="BH16" i="50"/>
  <c r="BI16" i="50"/>
  <c r="BJ16" i="50"/>
  <c r="BK16" i="50"/>
  <c r="BL16" i="50"/>
  <c r="BM16" i="50"/>
  <c r="BN16" i="50"/>
  <c r="BO16" i="50"/>
  <c r="BP16" i="50"/>
  <c r="BQ16" i="50"/>
  <c r="BR16" i="50"/>
  <c r="BS16" i="50"/>
  <c r="BT16" i="50"/>
  <c r="BU16" i="50"/>
  <c r="BV16" i="50"/>
  <c r="BW16" i="50"/>
  <c r="BX16" i="50"/>
  <c r="BY16" i="50"/>
  <c r="BZ16" i="50"/>
  <c r="CA16" i="50"/>
  <c r="CB16" i="50"/>
  <c r="CC16" i="50"/>
  <c r="CD16" i="50"/>
  <c r="CE16" i="50"/>
  <c r="CF16" i="50"/>
  <c r="CG16" i="50"/>
  <c r="CH16" i="50"/>
  <c r="CI16" i="50"/>
  <c r="CJ16" i="50"/>
  <c r="CK16" i="50"/>
  <c r="CL16" i="50"/>
  <c r="CM16" i="50"/>
  <c r="CN16" i="50"/>
  <c r="CO16" i="50"/>
  <c r="CP16" i="50"/>
  <c r="CQ16" i="50"/>
  <c r="CR16" i="50"/>
  <c r="CS16" i="50"/>
  <c r="CT16" i="50"/>
  <c r="CU16" i="50"/>
  <c r="CV16" i="50"/>
  <c r="CW16" i="50"/>
  <c r="CX16" i="50"/>
  <c r="CY16" i="50"/>
  <c r="CZ16" i="50"/>
  <c r="DA16" i="50"/>
  <c r="DB16" i="50"/>
  <c r="DC16" i="50"/>
  <c r="DD16" i="50"/>
  <c r="DE16" i="50"/>
  <c r="DF16" i="50"/>
  <c r="DG16" i="50"/>
  <c r="DH16" i="50"/>
  <c r="DI16" i="50"/>
  <c r="DJ16" i="50"/>
  <c r="DK16" i="50"/>
  <c r="DL16" i="50"/>
  <c r="DM16" i="50"/>
  <c r="DN16" i="50"/>
  <c r="DO16" i="50"/>
  <c r="DP16" i="50"/>
  <c r="DQ16" i="50"/>
  <c r="DR16" i="50"/>
  <c r="DS16" i="50"/>
  <c r="DT16" i="50"/>
  <c r="DU16" i="50"/>
  <c r="DV16" i="50"/>
  <c r="DW16" i="50"/>
  <c r="DX16" i="50"/>
  <c r="DY16" i="50"/>
  <c r="DZ16" i="50"/>
  <c r="EA16" i="50"/>
  <c r="EB16" i="50"/>
  <c r="EC16" i="50"/>
  <c r="ED16" i="50"/>
  <c r="EE16" i="50"/>
  <c r="EF16" i="50"/>
  <c r="EG16" i="50"/>
  <c r="EH16" i="50"/>
  <c r="EI16" i="50"/>
  <c r="EJ16" i="50"/>
  <c r="EK16" i="50"/>
  <c r="EL16" i="50"/>
  <c r="EM16" i="50"/>
  <c r="EN16" i="50"/>
  <c r="EO16" i="50"/>
  <c r="EP16" i="50"/>
  <c r="EQ16" i="50"/>
  <c r="ER16" i="50"/>
  <c r="ES16" i="50"/>
  <c r="ET16" i="50"/>
  <c r="EU16" i="50"/>
  <c r="EV16" i="50"/>
  <c r="EW16" i="50"/>
  <c r="EX16" i="50"/>
  <c r="EY16" i="50"/>
  <c r="EZ16" i="50"/>
  <c r="FA16" i="50"/>
  <c r="FB16" i="50"/>
  <c r="FC16" i="50"/>
  <c r="FD16" i="50"/>
  <c r="FE16" i="50"/>
  <c r="FF16" i="50"/>
  <c r="FG16" i="50"/>
  <c r="FH16" i="50"/>
  <c r="FI16" i="50"/>
  <c r="FJ16" i="50"/>
  <c r="FK16" i="50"/>
  <c r="FL16" i="50"/>
  <c r="FM16" i="50"/>
  <c r="FN16" i="50"/>
  <c r="FO16" i="50"/>
  <c r="FP16" i="50"/>
  <c r="FQ16" i="50"/>
  <c r="FR16" i="50"/>
  <c r="FS16" i="50"/>
  <c r="FT16" i="50"/>
  <c r="FU16" i="50"/>
  <c r="FV16" i="50"/>
  <c r="FW16" i="50"/>
  <c r="FX16" i="50"/>
  <c r="FY16" i="50"/>
  <c r="FZ16" i="50"/>
  <c r="GA16" i="50"/>
  <c r="GB16" i="50"/>
  <c r="GC16" i="50"/>
  <c r="GD16" i="50"/>
  <c r="GE16" i="50"/>
  <c r="GF16" i="50"/>
  <c r="GG16" i="50"/>
  <c r="GH16" i="50"/>
  <c r="GI16" i="50"/>
  <c r="GJ16" i="50"/>
  <c r="GK16" i="50"/>
  <c r="GL16" i="50"/>
  <c r="GM16" i="50"/>
  <c r="GN16" i="50"/>
  <c r="GO16" i="50"/>
  <c r="GP16" i="50"/>
  <c r="GQ16" i="50"/>
  <c r="GR16" i="50"/>
  <c r="GS16" i="50"/>
  <c r="GT16" i="50"/>
  <c r="GU16" i="50"/>
  <c r="GV16" i="50"/>
  <c r="GW16" i="50"/>
  <c r="GX16" i="50"/>
  <c r="GY16" i="50"/>
  <c r="GZ16" i="50"/>
  <c r="HA16" i="50"/>
  <c r="HB16" i="50"/>
  <c r="HC16" i="50"/>
  <c r="HD16" i="50"/>
  <c r="HE16" i="50"/>
  <c r="HF16" i="50"/>
  <c r="HG16" i="50"/>
  <c r="HH16" i="50"/>
  <c r="HI16" i="50"/>
  <c r="HJ16" i="50"/>
  <c r="HK16" i="50"/>
  <c r="HL16" i="50"/>
  <c r="HM16" i="50"/>
  <c r="HN16" i="50"/>
  <c r="HO16" i="50"/>
  <c r="HP16" i="50"/>
  <c r="HQ16" i="50"/>
  <c r="HR16" i="50"/>
  <c r="HS16" i="50"/>
  <c r="HT16" i="50"/>
  <c r="HU16" i="50"/>
  <c r="HV16" i="50"/>
  <c r="HW16" i="50"/>
  <c r="HX16" i="50"/>
  <c r="HY16" i="50"/>
  <c r="HZ16" i="50"/>
  <c r="IA16" i="50"/>
  <c r="IB16" i="50"/>
  <c r="IC16" i="50"/>
  <c r="ID16" i="50"/>
  <c r="IE16" i="50"/>
  <c r="IF16" i="50"/>
  <c r="IG16" i="50"/>
  <c r="IH16" i="50"/>
  <c r="II16" i="50"/>
  <c r="IJ16" i="50"/>
  <c r="IK16" i="50"/>
  <c r="IL16" i="50"/>
  <c r="IM16" i="50"/>
  <c r="IN16" i="50"/>
  <c r="IO16" i="50"/>
  <c r="IP16" i="50"/>
  <c r="IQ16" i="50"/>
  <c r="IR16" i="50"/>
  <c r="IS16" i="50"/>
  <c r="IT16" i="50"/>
  <c r="IU16" i="50"/>
  <c r="IV16" i="50"/>
  <c r="F17" i="50"/>
  <c r="G17" i="50"/>
  <c r="H17" i="50"/>
  <c r="I17" i="50"/>
  <c r="J17" i="50"/>
  <c r="K17" i="50"/>
  <c r="L17" i="50"/>
  <c r="M17" i="50"/>
  <c r="N17" i="50"/>
  <c r="O17" i="50"/>
  <c r="P17" i="50"/>
  <c r="Q17" i="50"/>
  <c r="R17" i="50"/>
  <c r="S17" i="50"/>
  <c r="T17" i="50"/>
  <c r="U17" i="50"/>
  <c r="V17" i="50"/>
  <c r="W17" i="50"/>
  <c r="X17" i="50"/>
  <c r="Y17" i="50"/>
  <c r="Z17" i="50"/>
  <c r="AA17" i="50"/>
  <c r="AB17" i="50"/>
  <c r="AC17" i="50"/>
  <c r="AD17" i="50"/>
  <c r="AE17" i="50"/>
  <c r="AF17" i="50"/>
  <c r="AG17" i="50"/>
  <c r="AH17" i="50"/>
  <c r="AI17" i="50"/>
  <c r="AJ17" i="50"/>
  <c r="AK17" i="50"/>
  <c r="AL17" i="50"/>
  <c r="AM17" i="50"/>
  <c r="AN17" i="50"/>
  <c r="AO17" i="50"/>
  <c r="AP17" i="50"/>
  <c r="AQ17" i="50"/>
  <c r="AR17" i="50"/>
  <c r="AS17" i="50"/>
  <c r="AT17" i="50"/>
  <c r="AU17" i="50"/>
  <c r="AV17" i="50"/>
  <c r="AW17" i="50"/>
  <c r="AX17" i="50"/>
  <c r="AY17" i="50"/>
  <c r="AZ17" i="50"/>
  <c r="BA17" i="50"/>
  <c r="BB17" i="50"/>
  <c r="BC17" i="50"/>
  <c r="BD17" i="50"/>
  <c r="BE17" i="50"/>
  <c r="BF17" i="50"/>
  <c r="BG17" i="50"/>
  <c r="BH17" i="50"/>
  <c r="BI17" i="50"/>
  <c r="BJ17" i="50"/>
  <c r="BK17" i="50"/>
  <c r="BL17" i="50"/>
  <c r="BM17" i="50"/>
  <c r="BN17" i="50"/>
  <c r="BO17" i="50"/>
  <c r="BP17" i="50"/>
  <c r="BQ17" i="50"/>
  <c r="BR17" i="50"/>
  <c r="BS17" i="50"/>
  <c r="BT17" i="50"/>
  <c r="BU17" i="50"/>
  <c r="BV17" i="50"/>
  <c r="BW17" i="50"/>
  <c r="BX17" i="50"/>
  <c r="BY17" i="50"/>
  <c r="BZ17" i="50"/>
  <c r="CA17" i="50"/>
  <c r="CB17" i="50"/>
  <c r="CC17" i="50"/>
  <c r="CD17" i="50"/>
  <c r="CE17" i="50"/>
  <c r="CF17" i="50"/>
  <c r="CG17" i="50"/>
  <c r="CH17" i="50"/>
  <c r="CI17" i="50"/>
  <c r="CJ17" i="50"/>
  <c r="CK17" i="50"/>
  <c r="CL17" i="50"/>
  <c r="CM17" i="50"/>
  <c r="CN17" i="50"/>
  <c r="CO17" i="50"/>
  <c r="CP17" i="50"/>
  <c r="CQ17" i="50"/>
  <c r="CR17" i="50"/>
  <c r="CS17" i="50"/>
  <c r="CT17" i="50"/>
  <c r="CU17" i="50"/>
  <c r="CV17" i="50"/>
  <c r="CW17" i="50"/>
  <c r="CX17" i="50"/>
  <c r="CY17" i="50"/>
  <c r="CZ17" i="50"/>
  <c r="DA17" i="50"/>
  <c r="DB17" i="50"/>
  <c r="DC17" i="50"/>
  <c r="DD17" i="50"/>
  <c r="DE17" i="50"/>
  <c r="DF17" i="50"/>
  <c r="DG17" i="50"/>
  <c r="DH17" i="50"/>
  <c r="DI17" i="50"/>
  <c r="DJ17" i="50"/>
  <c r="DK17" i="50"/>
  <c r="DL17" i="50"/>
  <c r="DM17" i="50"/>
  <c r="DN17" i="50"/>
  <c r="DO17" i="50"/>
  <c r="DP17" i="50"/>
  <c r="DQ17" i="50"/>
  <c r="DR17" i="50"/>
  <c r="DS17" i="50"/>
  <c r="DT17" i="50"/>
  <c r="DU17" i="50"/>
  <c r="DV17" i="50"/>
  <c r="DW17" i="50"/>
  <c r="DX17" i="50"/>
  <c r="DY17" i="50"/>
  <c r="DZ17" i="50"/>
  <c r="EA17" i="50"/>
  <c r="EB17" i="50"/>
  <c r="EC17" i="50"/>
  <c r="ED17" i="50"/>
  <c r="EE17" i="50"/>
  <c r="EF17" i="50"/>
  <c r="EG17" i="50"/>
  <c r="EH17" i="50"/>
  <c r="EI17" i="50"/>
  <c r="EJ17" i="50"/>
  <c r="EK17" i="50"/>
  <c r="EL17" i="50"/>
  <c r="EM17" i="50"/>
  <c r="EN17" i="50"/>
  <c r="EO17" i="50"/>
  <c r="EP17" i="50"/>
  <c r="EQ17" i="50"/>
  <c r="ER17" i="50"/>
  <c r="ES17" i="50"/>
  <c r="ET17" i="50"/>
  <c r="EU17" i="50"/>
  <c r="EV17" i="50"/>
  <c r="EW17" i="50"/>
  <c r="EX17" i="50"/>
  <c r="EY17" i="50"/>
  <c r="EZ17" i="50"/>
  <c r="FA17" i="50"/>
  <c r="FB17" i="50"/>
  <c r="FC17" i="50"/>
  <c r="FD17" i="50"/>
  <c r="FE17" i="50"/>
  <c r="FF17" i="50"/>
  <c r="FG17" i="50"/>
  <c r="FH17" i="50"/>
  <c r="FI17" i="50"/>
  <c r="FJ17" i="50"/>
  <c r="FK17" i="50"/>
  <c r="FL17" i="50"/>
  <c r="FM17" i="50"/>
  <c r="FN17" i="50"/>
  <c r="FO17" i="50"/>
  <c r="FP17" i="50"/>
  <c r="FQ17" i="50"/>
  <c r="FR17" i="50"/>
  <c r="FS17" i="50"/>
  <c r="FT17" i="50"/>
  <c r="FU17" i="50"/>
  <c r="FV17" i="50"/>
  <c r="FW17" i="50"/>
  <c r="FX17" i="50"/>
  <c r="FY17" i="50"/>
  <c r="FZ17" i="50"/>
  <c r="GA17" i="50"/>
  <c r="GB17" i="50"/>
  <c r="GC17" i="50"/>
  <c r="GD17" i="50"/>
  <c r="GE17" i="50"/>
  <c r="GF17" i="50"/>
  <c r="GG17" i="50"/>
  <c r="GH17" i="50"/>
  <c r="GI17" i="50"/>
  <c r="GJ17" i="50"/>
  <c r="GK17" i="50"/>
  <c r="GL17" i="50"/>
  <c r="GM17" i="50"/>
  <c r="GN17" i="50"/>
  <c r="GO17" i="50"/>
  <c r="GP17" i="50"/>
  <c r="GQ17" i="50"/>
  <c r="GR17" i="50"/>
  <c r="GS17" i="50"/>
  <c r="GT17" i="50"/>
  <c r="GU17" i="50"/>
  <c r="GV17" i="50"/>
  <c r="GW17" i="50"/>
  <c r="GX17" i="50"/>
  <c r="GY17" i="50"/>
  <c r="GZ17" i="50"/>
  <c r="HA17" i="50"/>
  <c r="HB17" i="50"/>
  <c r="HC17" i="50"/>
  <c r="HD17" i="50"/>
  <c r="HE17" i="50"/>
  <c r="HF17" i="50"/>
  <c r="HG17" i="50"/>
  <c r="HH17" i="50"/>
  <c r="HI17" i="50"/>
  <c r="HJ17" i="50"/>
  <c r="HK17" i="50"/>
  <c r="HL17" i="50"/>
  <c r="HM17" i="50"/>
  <c r="HN17" i="50"/>
  <c r="HO17" i="50"/>
  <c r="HP17" i="50"/>
  <c r="HQ17" i="50"/>
  <c r="HR17" i="50"/>
  <c r="HS17" i="50"/>
  <c r="HT17" i="50"/>
  <c r="HU17" i="50"/>
  <c r="HV17" i="50"/>
  <c r="HW17" i="50"/>
  <c r="HX17" i="50"/>
  <c r="HY17" i="50"/>
  <c r="HZ17" i="50"/>
  <c r="IA17" i="50"/>
  <c r="IB17" i="50"/>
  <c r="IC17" i="50"/>
  <c r="ID17" i="50"/>
  <c r="IE17" i="50"/>
  <c r="IF17" i="50"/>
  <c r="IG17" i="50"/>
  <c r="IH17" i="50"/>
  <c r="II17" i="50"/>
  <c r="IJ17" i="50"/>
  <c r="IK17" i="50"/>
  <c r="IL17" i="50"/>
  <c r="IM17" i="50"/>
  <c r="IN17" i="50"/>
  <c r="IO17" i="50"/>
  <c r="IP17" i="50"/>
  <c r="IQ17" i="50"/>
  <c r="IR17" i="50"/>
  <c r="IS17" i="50"/>
  <c r="IT17" i="50"/>
  <c r="IU17" i="50"/>
  <c r="IV17" i="50"/>
  <c r="F18" i="50"/>
  <c r="G18" i="50"/>
  <c r="H18" i="50"/>
  <c r="I18" i="50"/>
  <c r="J18" i="50"/>
  <c r="K18" i="50"/>
  <c r="L18" i="50"/>
  <c r="M18" i="50"/>
  <c r="N18" i="50"/>
  <c r="O18" i="50"/>
  <c r="P18" i="50"/>
  <c r="Q18" i="50"/>
  <c r="R18" i="50"/>
  <c r="S18" i="50"/>
  <c r="T18" i="50"/>
  <c r="U18" i="50"/>
  <c r="V18" i="50"/>
  <c r="W18" i="50"/>
  <c r="X18" i="50"/>
  <c r="Y18" i="50"/>
  <c r="Z18" i="50"/>
  <c r="AA18" i="50"/>
  <c r="AB18" i="50"/>
  <c r="AC18" i="50"/>
  <c r="AD18" i="50"/>
  <c r="AE18" i="50"/>
  <c r="AF18" i="50"/>
  <c r="AG18" i="50"/>
  <c r="AH18" i="50"/>
  <c r="AI18" i="50"/>
  <c r="AJ18" i="50"/>
  <c r="AK18" i="50"/>
  <c r="AL18" i="50"/>
  <c r="AM18" i="50"/>
  <c r="AN18" i="50"/>
  <c r="AO18" i="50"/>
  <c r="AP18" i="50"/>
  <c r="AQ18" i="50"/>
  <c r="AR18" i="50"/>
  <c r="AS18" i="50"/>
  <c r="AT18" i="50"/>
  <c r="AU18" i="50"/>
  <c r="AV18" i="50"/>
  <c r="AW18" i="50"/>
  <c r="AX18" i="50"/>
  <c r="AY18" i="50"/>
  <c r="AZ18" i="50"/>
  <c r="BA18" i="50"/>
  <c r="BB18" i="50"/>
  <c r="BC18" i="50"/>
  <c r="BD18" i="50"/>
  <c r="BE18" i="50"/>
  <c r="BF18" i="50"/>
  <c r="BG18" i="50"/>
  <c r="BH18" i="50"/>
  <c r="BI18" i="50"/>
  <c r="BJ18" i="50"/>
  <c r="BK18" i="50"/>
  <c r="BL18" i="50"/>
  <c r="BM18" i="50"/>
  <c r="BN18" i="50"/>
  <c r="BO18" i="50"/>
  <c r="BP18" i="50"/>
  <c r="BQ18" i="50"/>
  <c r="BR18" i="50"/>
  <c r="BS18" i="50"/>
  <c r="BT18" i="50"/>
  <c r="BU18" i="50"/>
  <c r="BV18" i="50"/>
  <c r="BW18" i="50"/>
  <c r="BX18" i="50"/>
  <c r="BY18" i="50"/>
  <c r="BZ18" i="50"/>
  <c r="CA18" i="50"/>
  <c r="CB18" i="50"/>
  <c r="CC18" i="50"/>
  <c r="CD18" i="50"/>
  <c r="CE18" i="50"/>
  <c r="CF18" i="50"/>
  <c r="CG18" i="50"/>
  <c r="CH18" i="50"/>
  <c r="CI18" i="50"/>
  <c r="CJ18" i="50"/>
  <c r="CK18" i="50"/>
  <c r="CL18" i="50"/>
  <c r="CM18" i="50"/>
  <c r="CN18" i="50"/>
  <c r="CO18" i="50"/>
  <c r="CP18" i="50"/>
  <c r="CQ18" i="50"/>
  <c r="CR18" i="50"/>
  <c r="CS18" i="50"/>
  <c r="CT18" i="50"/>
  <c r="CU18" i="50"/>
  <c r="CV18" i="50"/>
  <c r="CW18" i="50"/>
  <c r="CX18" i="50"/>
  <c r="CY18" i="50"/>
  <c r="CZ18" i="50"/>
  <c r="DA18" i="50"/>
  <c r="DB18" i="50"/>
  <c r="DC18" i="50"/>
  <c r="DD18" i="50"/>
  <c r="DE18" i="50"/>
  <c r="DF18" i="50"/>
  <c r="DG18" i="50"/>
  <c r="DH18" i="50"/>
  <c r="DI18" i="50"/>
  <c r="DJ18" i="50"/>
  <c r="DK18" i="50"/>
  <c r="DL18" i="50"/>
  <c r="DM18" i="50"/>
  <c r="DN18" i="50"/>
  <c r="DO18" i="50"/>
  <c r="DP18" i="50"/>
  <c r="DQ18" i="50"/>
  <c r="DR18" i="50"/>
  <c r="DS18" i="50"/>
  <c r="DT18" i="50"/>
  <c r="DU18" i="50"/>
  <c r="DV18" i="50"/>
  <c r="DW18" i="50"/>
  <c r="DX18" i="50"/>
  <c r="DY18" i="50"/>
  <c r="DZ18" i="50"/>
  <c r="EA18" i="50"/>
  <c r="EB18" i="50"/>
  <c r="EC18" i="50"/>
  <c r="ED18" i="50"/>
  <c r="EE18" i="50"/>
  <c r="EF18" i="50"/>
  <c r="EG18" i="50"/>
  <c r="EH18" i="50"/>
  <c r="EI18" i="50"/>
  <c r="EJ18" i="50"/>
  <c r="EK18" i="50"/>
  <c r="EL18" i="50"/>
  <c r="EM18" i="50"/>
  <c r="EN18" i="50"/>
  <c r="EO18" i="50"/>
  <c r="EP18" i="50"/>
  <c r="EQ18" i="50"/>
  <c r="ER18" i="50"/>
  <c r="ES18" i="50"/>
  <c r="ET18" i="50"/>
  <c r="EU18" i="50"/>
  <c r="EV18" i="50"/>
  <c r="EW18" i="50"/>
  <c r="EX18" i="50"/>
  <c r="EY18" i="50"/>
  <c r="EZ18" i="50"/>
  <c r="FA18" i="50"/>
  <c r="FB18" i="50"/>
  <c r="FC18" i="50"/>
  <c r="FD18" i="50"/>
  <c r="FE18" i="50"/>
  <c r="FF18" i="50"/>
  <c r="FG18" i="50"/>
  <c r="FH18" i="50"/>
  <c r="FI18" i="50"/>
  <c r="FJ18" i="50"/>
  <c r="FK18" i="50"/>
  <c r="FL18" i="50"/>
  <c r="FM18" i="50"/>
  <c r="FN18" i="50"/>
  <c r="FO18" i="50"/>
  <c r="FP18" i="50"/>
  <c r="FQ18" i="50"/>
  <c r="FR18" i="50"/>
  <c r="FS18" i="50"/>
  <c r="FT18" i="50"/>
  <c r="FU18" i="50"/>
  <c r="FV18" i="50"/>
  <c r="FW18" i="50"/>
  <c r="FX18" i="50"/>
  <c r="FY18" i="50"/>
  <c r="FZ18" i="50"/>
  <c r="GA18" i="50"/>
  <c r="GB18" i="50"/>
  <c r="GC18" i="50"/>
  <c r="GD18" i="50"/>
  <c r="GE18" i="50"/>
  <c r="GF18" i="50"/>
  <c r="GG18" i="50"/>
  <c r="GH18" i="50"/>
  <c r="GI18" i="50"/>
  <c r="GJ18" i="50"/>
  <c r="GK18" i="50"/>
  <c r="GL18" i="50"/>
  <c r="GM18" i="50"/>
  <c r="GN18" i="50"/>
  <c r="GO18" i="50"/>
  <c r="GP18" i="50"/>
  <c r="GQ18" i="50"/>
  <c r="GR18" i="50"/>
  <c r="GS18" i="50"/>
  <c r="GT18" i="50"/>
  <c r="GU18" i="50"/>
  <c r="GV18" i="50"/>
  <c r="GW18" i="50"/>
  <c r="GX18" i="50"/>
  <c r="GY18" i="50"/>
  <c r="GZ18" i="50"/>
  <c r="HA18" i="50"/>
  <c r="HB18" i="50"/>
  <c r="HC18" i="50"/>
  <c r="HD18" i="50"/>
  <c r="HE18" i="50"/>
  <c r="HF18" i="50"/>
  <c r="HG18" i="50"/>
  <c r="HH18" i="50"/>
  <c r="HI18" i="50"/>
  <c r="HJ18" i="50"/>
  <c r="HK18" i="50"/>
  <c r="HL18" i="50"/>
  <c r="HM18" i="50"/>
  <c r="HN18" i="50"/>
  <c r="HO18" i="50"/>
  <c r="HP18" i="50"/>
  <c r="HQ18" i="50"/>
  <c r="HR18" i="50"/>
  <c r="HS18" i="50"/>
  <c r="HT18" i="50"/>
  <c r="HU18" i="50"/>
  <c r="HV18" i="50"/>
  <c r="HW18" i="50"/>
  <c r="HX18" i="50"/>
  <c r="HY18" i="50"/>
  <c r="HZ18" i="50"/>
  <c r="IA18" i="50"/>
  <c r="IB18" i="50"/>
  <c r="IC18" i="50"/>
  <c r="ID18" i="50"/>
  <c r="IE18" i="50"/>
  <c r="IF18" i="50"/>
  <c r="IG18" i="50"/>
  <c r="IH18" i="50"/>
  <c r="II18" i="50"/>
  <c r="IJ18" i="50"/>
  <c r="IK18" i="50"/>
  <c r="IL18" i="50"/>
  <c r="IM18" i="50"/>
  <c r="IN18" i="50"/>
  <c r="IO18" i="50"/>
  <c r="IP18" i="50"/>
  <c r="IQ18" i="50"/>
  <c r="IR18" i="50"/>
  <c r="IS18" i="50"/>
  <c r="IT18" i="50"/>
  <c r="IU18" i="50"/>
  <c r="IV18" i="50"/>
  <c r="F19" i="50"/>
  <c r="G19" i="50"/>
  <c r="H19" i="50"/>
  <c r="I19" i="50"/>
  <c r="J19" i="50"/>
  <c r="K19" i="50"/>
  <c r="L19" i="50"/>
  <c r="M19" i="50"/>
  <c r="N19" i="50"/>
  <c r="O19" i="50"/>
  <c r="P19" i="50"/>
  <c r="Q19" i="50"/>
  <c r="R19" i="50"/>
  <c r="S19" i="50"/>
  <c r="T19" i="50"/>
  <c r="U19" i="50"/>
  <c r="V19" i="50"/>
  <c r="W19" i="50"/>
  <c r="X19" i="50"/>
  <c r="Y19" i="50"/>
  <c r="Z19" i="50"/>
  <c r="AA19" i="50"/>
  <c r="AB19" i="50"/>
  <c r="AC19" i="50"/>
  <c r="AD19" i="50"/>
  <c r="AE19" i="50"/>
  <c r="AF19" i="50"/>
  <c r="AG19" i="50"/>
  <c r="AH19" i="50"/>
  <c r="AI19" i="50"/>
  <c r="AJ19" i="50"/>
  <c r="AK19" i="50"/>
  <c r="AL19" i="50"/>
  <c r="AM19" i="50"/>
  <c r="AN19" i="50"/>
  <c r="AO19" i="50"/>
  <c r="AP19" i="50"/>
  <c r="AQ19" i="50"/>
  <c r="AR19" i="50"/>
  <c r="AS19" i="50"/>
  <c r="AT19" i="50"/>
  <c r="AU19" i="50"/>
  <c r="AV19" i="50"/>
  <c r="AW19" i="50"/>
  <c r="AX19" i="50"/>
  <c r="AY19" i="50"/>
  <c r="AZ19" i="50"/>
  <c r="BA19" i="50"/>
  <c r="BB19" i="50"/>
  <c r="BC19" i="50"/>
  <c r="BD19" i="50"/>
  <c r="BE19" i="50"/>
  <c r="BF19" i="50"/>
  <c r="BG19" i="50"/>
  <c r="BH19" i="50"/>
  <c r="BI19" i="50"/>
  <c r="BJ19" i="50"/>
  <c r="BK19" i="50"/>
  <c r="BL19" i="50"/>
  <c r="BM19" i="50"/>
  <c r="BN19" i="50"/>
  <c r="BO19" i="50"/>
  <c r="BP19" i="50"/>
  <c r="BQ19" i="50"/>
  <c r="BR19" i="50"/>
  <c r="BS19" i="50"/>
  <c r="BT19" i="50"/>
  <c r="BU19" i="50"/>
  <c r="BV19" i="50"/>
  <c r="BW19" i="50"/>
  <c r="BX19" i="50"/>
  <c r="BY19" i="50"/>
  <c r="BZ19" i="50"/>
  <c r="CA19" i="50"/>
  <c r="CB19" i="50"/>
  <c r="CC19" i="50"/>
  <c r="CD19" i="50"/>
  <c r="CE19" i="50"/>
  <c r="CF19" i="50"/>
  <c r="CG19" i="50"/>
  <c r="CH19" i="50"/>
  <c r="CI19" i="50"/>
  <c r="CJ19" i="50"/>
  <c r="CK19" i="50"/>
  <c r="CL19" i="50"/>
  <c r="CM19" i="50"/>
  <c r="CN19" i="50"/>
  <c r="CO19" i="50"/>
  <c r="CP19" i="50"/>
  <c r="CQ19" i="50"/>
  <c r="CR19" i="50"/>
  <c r="CS19" i="50"/>
  <c r="CT19" i="50"/>
  <c r="CU19" i="50"/>
  <c r="CV19" i="50"/>
  <c r="CW19" i="50"/>
  <c r="CX19" i="50"/>
  <c r="CY19" i="50"/>
  <c r="CZ19" i="50"/>
  <c r="DA19" i="50"/>
  <c r="DB19" i="50"/>
  <c r="DC19" i="50"/>
  <c r="DD19" i="50"/>
  <c r="DE19" i="50"/>
  <c r="DF19" i="50"/>
  <c r="DG19" i="50"/>
  <c r="DH19" i="50"/>
  <c r="DI19" i="50"/>
  <c r="DJ19" i="50"/>
  <c r="DK19" i="50"/>
  <c r="DL19" i="50"/>
  <c r="DM19" i="50"/>
  <c r="DN19" i="50"/>
  <c r="DO19" i="50"/>
  <c r="DP19" i="50"/>
  <c r="DQ19" i="50"/>
  <c r="DR19" i="50"/>
  <c r="DS19" i="50"/>
  <c r="DT19" i="50"/>
  <c r="DU19" i="50"/>
  <c r="DV19" i="50"/>
  <c r="DW19" i="50"/>
  <c r="DX19" i="50"/>
  <c r="DY19" i="50"/>
  <c r="DZ19" i="50"/>
  <c r="EA19" i="50"/>
  <c r="EB19" i="50"/>
  <c r="EC19" i="50"/>
  <c r="ED19" i="50"/>
  <c r="EE19" i="50"/>
  <c r="EF19" i="50"/>
  <c r="EG19" i="50"/>
  <c r="EH19" i="50"/>
  <c r="EI19" i="50"/>
  <c r="EJ19" i="50"/>
  <c r="EK19" i="50"/>
  <c r="EL19" i="50"/>
  <c r="EM19" i="50"/>
  <c r="EN19" i="50"/>
  <c r="EO19" i="50"/>
  <c r="EP19" i="50"/>
  <c r="EQ19" i="50"/>
  <c r="ER19" i="50"/>
  <c r="ES19" i="50"/>
  <c r="ET19" i="50"/>
  <c r="EU19" i="50"/>
  <c r="EV19" i="50"/>
  <c r="EW19" i="50"/>
  <c r="EX19" i="50"/>
  <c r="EY19" i="50"/>
  <c r="EZ19" i="50"/>
  <c r="FA19" i="50"/>
  <c r="FB19" i="50"/>
  <c r="FC19" i="50"/>
  <c r="FD19" i="50"/>
  <c r="FE19" i="50"/>
  <c r="FF19" i="50"/>
  <c r="FG19" i="50"/>
  <c r="FH19" i="50"/>
  <c r="FI19" i="50"/>
  <c r="FJ19" i="50"/>
  <c r="FK19" i="50"/>
  <c r="FL19" i="50"/>
  <c r="FM19" i="50"/>
  <c r="FN19" i="50"/>
  <c r="FO19" i="50"/>
  <c r="FP19" i="50"/>
  <c r="FQ19" i="50"/>
  <c r="FR19" i="50"/>
  <c r="FS19" i="50"/>
  <c r="FT19" i="50"/>
  <c r="FU19" i="50"/>
  <c r="FV19" i="50"/>
  <c r="FW19" i="50"/>
  <c r="FX19" i="50"/>
  <c r="FY19" i="50"/>
  <c r="FZ19" i="50"/>
  <c r="GA19" i="50"/>
  <c r="GB19" i="50"/>
  <c r="GC19" i="50"/>
  <c r="GD19" i="50"/>
  <c r="GE19" i="50"/>
  <c r="GF19" i="50"/>
  <c r="GG19" i="50"/>
  <c r="GH19" i="50"/>
  <c r="GI19" i="50"/>
  <c r="GJ19" i="50"/>
  <c r="GK19" i="50"/>
  <c r="GL19" i="50"/>
  <c r="GM19" i="50"/>
  <c r="GN19" i="50"/>
  <c r="GO19" i="50"/>
  <c r="GP19" i="50"/>
  <c r="GQ19" i="50"/>
  <c r="GR19" i="50"/>
  <c r="GS19" i="50"/>
  <c r="GT19" i="50"/>
  <c r="GU19" i="50"/>
  <c r="GV19" i="50"/>
  <c r="GW19" i="50"/>
  <c r="GX19" i="50"/>
  <c r="GY19" i="50"/>
  <c r="GZ19" i="50"/>
  <c r="HA19" i="50"/>
  <c r="HB19" i="50"/>
  <c r="HC19" i="50"/>
  <c r="HD19" i="50"/>
  <c r="HE19" i="50"/>
  <c r="HF19" i="50"/>
  <c r="HG19" i="50"/>
  <c r="HH19" i="50"/>
  <c r="HI19" i="50"/>
  <c r="HJ19" i="50"/>
  <c r="HK19" i="50"/>
  <c r="HL19" i="50"/>
  <c r="HM19" i="50"/>
  <c r="HN19" i="50"/>
  <c r="HO19" i="50"/>
  <c r="HP19" i="50"/>
  <c r="HQ19" i="50"/>
  <c r="HR19" i="50"/>
  <c r="HS19" i="50"/>
  <c r="HT19" i="50"/>
  <c r="HU19" i="50"/>
  <c r="HV19" i="50"/>
  <c r="HW19" i="50"/>
  <c r="HX19" i="50"/>
  <c r="HY19" i="50"/>
  <c r="HZ19" i="50"/>
  <c r="IA19" i="50"/>
  <c r="IB19" i="50"/>
  <c r="IC19" i="50"/>
  <c r="ID19" i="50"/>
  <c r="IE19" i="50"/>
  <c r="IF19" i="50"/>
  <c r="IG19" i="50"/>
  <c r="IH19" i="50"/>
  <c r="II19" i="50"/>
  <c r="IJ19" i="50"/>
  <c r="IK19" i="50"/>
  <c r="IL19" i="50"/>
  <c r="IM19" i="50"/>
  <c r="IN19" i="50"/>
  <c r="IO19" i="50"/>
  <c r="IP19" i="50"/>
  <c r="IQ19" i="50"/>
  <c r="IR19" i="50"/>
  <c r="IS19" i="50"/>
  <c r="IT19" i="50"/>
  <c r="IU19" i="50"/>
  <c r="IV19" i="50"/>
  <c r="F20" i="50"/>
  <c r="G20" i="50"/>
  <c r="H20" i="50"/>
  <c r="I20" i="50"/>
  <c r="J20" i="50"/>
  <c r="K20" i="50"/>
  <c r="L20" i="50"/>
  <c r="M20" i="50"/>
  <c r="N20" i="50"/>
  <c r="O20" i="50"/>
  <c r="P20" i="50"/>
  <c r="Q20" i="50"/>
  <c r="R20" i="50"/>
  <c r="S20" i="50"/>
  <c r="T20" i="50"/>
  <c r="U20" i="50"/>
  <c r="V20" i="50"/>
  <c r="W20" i="50"/>
  <c r="X20" i="50"/>
  <c r="Y20" i="50"/>
  <c r="Z20" i="50"/>
  <c r="AA20" i="50"/>
  <c r="AB20" i="50"/>
  <c r="AC20" i="50"/>
  <c r="AD20" i="50"/>
  <c r="AE20" i="50"/>
  <c r="AF20" i="50"/>
  <c r="AG20" i="50"/>
  <c r="AH20" i="50"/>
  <c r="AI20" i="50"/>
  <c r="AJ20" i="50"/>
  <c r="AK20" i="50"/>
  <c r="AL20" i="50"/>
  <c r="AM20" i="50"/>
  <c r="AN20" i="50"/>
  <c r="AO20" i="50"/>
  <c r="AP20" i="50"/>
  <c r="AQ20" i="50"/>
  <c r="AR20" i="50"/>
  <c r="AS20" i="50"/>
  <c r="AT20" i="50"/>
  <c r="AU20" i="50"/>
  <c r="AV20" i="50"/>
  <c r="AW20" i="50"/>
  <c r="AX20" i="50"/>
  <c r="AY20" i="50"/>
  <c r="AZ20" i="50"/>
  <c r="BA20" i="50"/>
  <c r="BB20" i="50"/>
  <c r="BC20" i="50"/>
  <c r="BD20" i="50"/>
  <c r="BE20" i="50"/>
  <c r="BF20" i="50"/>
  <c r="BG20" i="50"/>
  <c r="BH20" i="50"/>
  <c r="BI20" i="50"/>
  <c r="BJ20" i="50"/>
  <c r="BK20" i="50"/>
  <c r="BL20" i="50"/>
  <c r="BM20" i="50"/>
  <c r="BN20" i="50"/>
  <c r="BO20" i="50"/>
  <c r="BP20" i="50"/>
  <c r="BQ20" i="50"/>
  <c r="BR20" i="50"/>
  <c r="BS20" i="50"/>
  <c r="BT20" i="50"/>
  <c r="BU20" i="50"/>
  <c r="BV20" i="50"/>
  <c r="BW20" i="50"/>
  <c r="BX20" i="50"/>
  <c r="BY20" i="50"/>
  <c r="BZ20" i="50"/>
  <c r="CA20" i="50"/>
  <c r="CB20" i="50"/>
  <c r="CC20" i="50"/>
  <c r="CD20" i="50"/>
  <c r="CE20" i="50"/>
  <c r="CF20" i="50"/>
  <c r="CG20" i="50"/>
  <c r="CH20" i="50"/>
  <c r="CI20" i="50"/>
  <c r="CJ20" i="50"/>
  <c r="CK20" i="50"/>
  <c r="CL20" i="50"/>
  <c r="CM20" i="50"/>
  <c r="CN20" i="50"/>
  <c r="CO20" i="50"/>
  <c r="CP20" i="50"/>
  <c r="CQ20" i="50"/>
  <c r="CR20" i="50"/>
  <c r="CS20" i="50"/>
  <c r="CT20" i="50"/>
  <c r="CU20" i="50"/>
  <c r="CV20" i="50"/>
  <c r="CW20" i="50"/>
  <c r="CX20" i="50"/>
  <c r="CY20" i="50"/>
  <c r="CZ20" i="50"/>
  <c r="DA20" i="50"/>
  <c r="DB20" i="50"/>
  <c r="DC20" i="50"/>
  <c r="DD20" i="50"/>
  <c r="DE20" i="50"/>
  <c r="DF20" i="50"/>
  <c r="DG20" i="50"/>
  <c r="DH20" i="50"/>
  <c r="DI20" i="50"/>
  <c r="DJ20" i="50"/>
  <c r="DK20" i="50"/>
  <c r="DL20" i="50"/>
  <c r="DM20" i="50"/>
  <c r="DN20" i="50"/>
  <c r="DO20" i="50"/>
  <c r="DP20" i="50"/>
  <c r="DQ20" i="50"/>
  <c r="DR20" i="50"/>
  <c r="DS20" i="50"/>
  <c r="DT20" i="50"/>
  <c r="DU20" i="50"/>
  <c r="DV20" i="50"/>
  <c r="DW20" i="50"/>
  <c r="DX20" i="50"/>
  <c r="DY20" i="50"/>
  <c r="DZ20" i="50"/>
  <c r="EA20" i="50"/>
  <c r="EB20" i="50"/>
  <c r="EC20" i="50"/>
  <c r="ED20" i="50"/>
  <c r="EE20" i="50"/>
  <c r="EF20" i="50"/>
  <c r="EG20" i="50"/>
  <c r="EH20" i="50"/>
  <c r="EI20" i="50"/>
  <c r="EJ20" i="50"/>
  <c r="EK20" i="50"/>
  <c r="EL20" i="50"/>
  <c r="EM20" i="50"/>
  <c r="EN20" i="50"/>
  <c r="EO20" i="50"/>
  <c r="EP20" i="50"/>
  <c r="EQ20" i="50"/>
  <c r="ER20" i="50"/>
  <c r="ES20" i="50"/>
  <c r="ET20" i="50"/>
  <c r="EU20" i="50"/>
  <c r="EV20" i="50"/>
  <c r="EW20" i="50"/>
  <c r="EX20" i="50"/>
  <c r="EY20" i="50"/>
  <c r="EZ20" i="50"/>
  <c r="FA20" i="50"/>
  <c r="FB20" i="50"/>
  <c r="FC20" i="50"/>
  <c r="FD20" i="50"/>
  <c r="FE20" i="50"/>
  <c r="FF20" i="50"/>
  <c r="FG20" i="50"/>
  <c r="FH20" i="50"/>
  <c r="FI20" i="50"/>
  <c r="FJ20" i="50"/>
  <c r="FK20" i="50"/>
  <c r="FL20" i="50"/>
  <c r="FM20" i="50"/>
  <c r="FN20" i="50"/>
  <c r="FO20" i="50"/>
  <c r="FP20" i="50"/>
  <c r="FQ20" i="50"/>
  <c r="FR20" i="50"/>
  <c r="FS20" i="50"/>
  <c r="FT20" i="50"/>
  <c r="FU20" i="50"/>
  <c r="FV20" i="50"/>
  <c r="FW20" i="50"/>
  <c r="FX20" i="50"/>
  <c r="FY20" i="50"/>
  <c r="FZ20" i="50"/>
  <c r="GA20" i="50"/>
  <c r="GB20" i="50"/>
  <c r="GC20" i="50"/>
  <c r="GD20" i="50"/>
  <c r="GE20" i="50"/>
  <c r="GF20" i="50"/>
  <c r="GG20" i="50"/>
  <c r="GH20" i="50"/>
  <c r="GI20" i="50"/>
  <c r="GJ20" i="50"/>
  <c r="GK20" i="50"/>
  <c r="GL20" i="50"/>
  <c r="GM20" i="50"/>
  <c r="GN20" i="50"/>
  <c r="GO20" i="50"/>
  <c r="GP20" i="50"/>
  <c r="GQ20" i="50"/>
  <c r="GR20" i="50"/>
  <c r="GS20" i="50"/>
  <c r="GT20" i="50"/>
  <c r="GU20" i="50"/>
  <c r="GV20" i="50"/>
  <c r="GW20" i="50"/>
  <c r="GX20" i="50"/>
  <c r="GY20" i="50"/>
  <c r="GZ20" i="50"/>
  <c r="HA20" i="50"/>
  <c r="HB20" i="50"/>
  <c r="HC20" i="50"/>
  <c r="HD20" i="50"/>
  <c r="HE20" i="50"/>
  <c r="HF20" i="50"/>
  <c r="HG20" i="50"/>
  <c r="HH20" i="50"/>
  <c r="HI20" i="50"/>
  <c r="HJ20" i="50"/>
  <c r="HK20" i="50"/>
  <c r="HL20" i="50"/>
  <c r="HM20" i="50"/>
  <c r="HN20" i="50"/>
  <c r="HO20" i="50"/>
  <c r="HP20" i="50"/>
  <c r="HQ20" i="50"/>
  <c r="HR20" i="50"/>
  <c r="HS20" i="50"/>
  <c r="HT20" i="50"/>
  <c r="HU20" i="50"/>
  <c r="HV20" i="50"/>
  <c r="HW20" i="50"/>
  <c r="HX20" i="50"/>
  <c r="HY20" i="50"/>
  <c r="HZ20" i="50"/>
  <c r="IA20" i="50"/>
  <c r="IB20" i="50"/>
  <c r="IC20" i="50"/>
  <c r="ID20" i="50"/>
  <c r="IE20" i="50"/>
  <c r="IF20" i="50"/>
  <c r="IG20" i="50"/>
  <c r="IH20" i="50"/>
  <c r="II20" i="50"/>
  <c r="IJ20" i="50"/>
  <c r="IK20" i="50"/>
  <c r="IL20" i="50"/>
  <c r="IM20" i="50"/>
  <c r="IN20" i="50"/>
  <c r="IO20" i="50"/>
  <c r="IP20" i="50"/>
  <c r="IQ20" i="50"/>
  <c r="IR20" i="50"/>
  <c r="IS20" i="50"/>
  <c r="IT20" i="50"/>
  <c r="IU20" i="50"/>
  <c r="IV20" i="50"/>
  <c r="F21" i="50"/>
  <c r="G21" i="50"/>
  <c r="H21" i="50"/>
  <c r="I21" i="50"/>
  <c r="J21" i="50"/>
  <c r="K21" i="50"/>
  <c r="L21" i="50"/>
  <c r="M21" i="50"/>
  <c r="N21" i="50"/>
  <c r="O21" i="50"/>
  <c r="P21" i="50"/>
  <c r="Q21" i="50"/>
  <c r="R21" i="50"/>
  <c r="S21" i="50"/>
  <c r="T21" i="50"/>
  <c r="U21" i="50"/>
  <c r="V21" i="50"/>
  <c r="W21" i="50"/>
  <c r="X21" i="50"/>
  <c r="Y21" i="50"/>
  <c r="Z21" i="50"/>
  <c r="AA21" i="50"/>
  <c r="AB21" i="50"/>
  <c r="AC21" i="50"/>
  <c r="AD21" i="50"/>
  <c r="AE21" i="50"/>
  <c r="AF21" i="50"/>
  <c r="AG21" i="50"/>
  <c r="AH21" i="50"/>
  <c r="AI21" i="50"/>
  <c r="AJ21" i="50"/>
  <c r="AK21" i="50"/>
  <c r="AL21" i="50"/>
  <c r="AM21" i="50"/>
  <c r="AN21" i="50"/>
  <c r="AO21" i="50"/>
  <c r="AP21" i="50"/>
  <c r="AQ21" i="50"/>
  <c r="AR21" i="50"/>
  <c r="AS21" i="50"/>
  <c r="AT21" i="50"/>
  <c r="AU21" i="50"/>
  <c r="AV21" i="50"/>
  <c r="AW21" i="50"/>
  <c r="AX21" i="50"/>
  <c r="AY21" i="50"/>
  <c r="AZ21" i="50"/>
  <c r="BA21" i="50"/>
  <c r="BB21" i="50"/>
  <c r="BC21" i="50"/>
  <c r="BD21" i="50"/>
  <c r="BE21" i="50"/>
  <c r="BF21" i="50"/>
  <c r="BG21" i="50"/>
  <c r="BH21" i="50"/>
  <c r="BI21" i="50"/>
  <c r="BJ21" i="50"/>
  <c r="BK21" i="50"/>
  <c r="BL21" i="50"/>
  <c r="BM21" i="50"/>
  <c r="BN21" i="50"/>
  <c r="BO21" i="50"/>
  <c r="BP21" i="50"/>
  <c r="BQ21" i="50"/>
  <c r="BR21" i="50"/>
  <c r="BS21" i="50"/>
  <c r="BT21" i="50"/>
  <c r="BU21" i="50"/>
  <c r="BV21" i="50"/>
  <c r="BW21" i="50"/>
  <c r="BX21" i="50"/>
  <c r="BY21" i="50"/>
  <c r="BZ21" i="50"/>
  <c r="CA21" i="50"/>
  <c r="CB21" i="50"/>
  <c r="CC21" i="50"/>
  <c r="CD21" i="50"/>
  <c r="CE21" i="50"/>
  <c r="CF21" i="50"/>
  <c r="CG21" i="50"/>
  <c r="CH21" i="50"/>
  <c r="CI21" i="50"/>
  <c r="CJ21" i="50"/>
  <c r="CK21" i="50"/>
  <c r="CL21" i="50"/>
  <c r="CM21" i="50"/>
  <c r="CN21" i="50"/>
  <c r="CO21" i="50"/>
  <c r="CP21" i="50"/>
  <c r="CQ21" i="50"/>
  <c r="CR21" i="50"/>
  <c r="CS21" i="50"/>
  <c r="CT21" i="50"/>
  <c r="CU21" i="50"/>
  <c r="CV21" i="50"/>
  <c r="CW21" i="50"/>
  <c r="CX21" i="50"/>
  <c r="CY21" i="50"/>
  <c r="CZ21" i="50"/>
  <c r="DA21" i="50"/>
  <c r="DB21" i="50"/>
  <c r="DC21" i="50"/>
  <c r="DD21" i="50"/>
  <c r="DE21" i="50"/>
  <c r="DF21" i="50"/>
  <c r="DG21" i="50"/>
  <c r="DH21" i="50"/>
  <c r="DI21" i="50"/>
  <c r="DJ21" i="50"/>
  <c r="DK21" i="50"/>
  <c r="DL21" i="50"/>
  <c r="DM21" i="50"/>
  <c r="DN21" i="50"/>
  <c r="DO21" i="50"/>
  <c r="DP21" i="50"/>
  <c r="DQ21" i="50"/>
  <c r="DR21" i="50"/>
  <c r="DS21" i="50"/>
  <c r="DT21" i="50"/>
  <c r="DU21" i="50"/>
  <c r="DV21" i="50"/>
  <c r="DW21" i="50"/>
  <c r="DX21" i="50"/>
  <c r="DY21" i="50"/>
  <c r="DZ21" i="50"/>
  <c r="EA21" i="50"/>
  <c r="EB21" i="50"/>
  <c r="EC21" i="50"/>
  <c r="ED21" i="50"/>
  <c r="EE21" i="50"/>
  <c r="EF21" i="50"/>
  <c r="EG21" i="50"/>
  <c r="EH21" i="50"/>
  <c r="EI21" i="50"/>
  <c r="EJ21" i="50"/>
  <c r="EK21" i="50"/>
  <c r="EL21" i="50"/>
  <c r="EM21" i="50"/>
  <c r="EN21" i="50"/>
  <c r="EO21" i="50"/>
  <c r="EP21" i="50"/>
  <c r="EQ21" i="50"/>
  <c r="ER21" i="50"/>
  <c r="ES21" i="50"/>
  <c r="ET21" i="50"/>
  <c r="EU21" i="50"/>
  <c r="EV21" i="50"/>
  <c r="EW21" i="50"/>
  <c r="EX21" i="50"/>
  <c r="EY21" i="50"/>
  <c r="EZ21" i="50"/>
  <c r="FA21" i="50"/>
  <c r="FB21" i="50"/>
  <c r="FC21" i="50"/>
  <c r="FD21" i="50"/>
  <c r="FE21" i="50"/>
  <c r="FF21" i="50"/>
  <c r="FG21" i="50"/>
  <c r="FH21" i="50"/>
  <c r="FI21" i="50"/>
  <c r="FJ21" i="50"/>
  <c r="FK21" i="50"/>
  <c r="FL21" i="50"/>
  <c r="FM21" i="50"/>
  <c r="FN21" i="50"/>
  <c r="FO21" i="50"/>
  <c r="FP21" i="50"/>
  <c r="FQ21" i="50"/>
  <c r="FR21" i="50"/>
  <c r="FS21" i="50"/>
  <c r="FT21" i="50"/>
  <c r="FU21" i="50"/>
  <c r="FV21" i="50"/>
  <c r="FW21" i="50"/>
  <c r="FX21" i="50"/>
  <c r="FY21" i="50"/>
  <c r="FZ21" i="50"/>
  <c r="GA21" i="50"/>
  <c r="GB21" i="50"/>
  <c r="GC21" i="50"/>
  <c r="GD21" i="50"/>
  <c r="GE21" i="50"/>
  <c r="GF21" i="50"/>
  <c r="GG21" i="50"/>
  <c r="GH21" i="50"/>
  <c r="GI21" i="50"/>
  <c r="GJ21" i="50"/>
  <c r="GK21" i="50"/>
  <c r="GL21" i="50"/>
  <c r="GM21" i="50"/>
  <c r="GN21" i="50"/>
  <c r="GO21" i="50"/>
  <c r="GP21" i="50"/>
  <c r="GQ21" i="50"/>
  <c r="GR21" i="50"/>
  <c r="GS21" i="50"/>
  <c r="GT21" i="50"/>
  <c r="GU21" i="50"/>
  <c r="GV21" i="50"/>
  <c r="GW21" i="50"/>
  <c r="GX21" i="50"/>
  <c r="GY21" i="50"/>
  <c r="GZ21" i="50"/>
  <c r="HA21" i="50"/>
  <c r="HB21" i="50"/>
  <c r="HC21" i="50"/>
  <c r="HD21" i="50"/>
  <c r="HE21" i="50"/>
  <c r="HF21" i="50"/>
  <c r="HG21" i="50"/>
  <c r="HH21" i="50"/>
  <c r="HI21" i="50"/>
  <c r="HJ21" i="50"/>
  <c r="HK21" i="50"/>
  <c r="HL21" i="50"/>
  <c r="HM21" i="50"/>
  <c r="HN21" i="50"/>
  <c r="HO21" i="50"/>
  <c r="HP21" i="50"/>
  <c r="HQ21" i="50"/>
  <c r="HR21" i="50"/>
  <c r="HS21" i="50"/>
  <c r="HT21" i="50"/>
  <c r="HU21" i="50"/>
  <c r="HV21" i="50"/>
  <c r="HW21" i="50"/>
  <c r="HX21" i="50"/>
  <c r="HY21" i="50"/>
  <c r="HZ21" i="50"/>
  <c r="IA21" i="50"/>
  <c r="IB21" i="50"/>
  <c r="IC21" i="50"/>
  <c r="ID21" i="50"/>
  <c r="IE21" i="50"/>
  <c r="IF21" i="50"/>
  <c r="IG21" i="50"/>
  <c r="IH21" i="50"/>
  <c r="II21" i="50"/>
  <c r="IJ21" i="50"/>
  <c r="IK21" i="50"/>
  <c r="IL21" i="50"/>
  <c r="IM21" i="50"/>
  <c r="IN21" i="50"/>
  <c r="IO21" i="50"/>
  <c r="IP21" i="50"/>
  <c r="IQ21" i="50"/>
  <c r="IR21" i="50"/>
  <c r="IS21" i="50"/>
  <c r="IT21" i="50"/>
  <c r="IU21" i="50"/>
  <c r="IV21" i="50"/>
  <c r="F22" i="50"/>
  <c r="G22" i="50"/>
  <c r="H22" i="50"/>
  <c r="I22" i="50"/>
  <c r="J22" i="50"/>
  <c r="K22" i="50"/>
  <c r="L22" i="50"/>
  <c r="M22" i="50"/>
  <c r="N22" i="50"/>
  <c r="O22" i="50"/>
  <c r="P22" i="50"/>
  <c r="Q22" i="50"/>
  <c r="R22" i="50"/>
  <c r="S22" i="50"/>
  <c r="T22" i="50"/>
  <c r="U22" i="50"/>
  <c r="V22" i="50"/>
  <c r="W22" i="50"/>
  <c r="X22" i="50"/>
  <c r="Y22" i="50"/>
  <c r="Z22" i="50"/>
  <c r="AA22" i="50"/>
  <c r="AB22" i="50"/>
  <c r="AC22" i="50"/>
  <c r="AD22" i="50"/>
  <c r="AE22" i="50"/>
  <c r="AF22" i="50"/>
  <c r="AG22" i="50"/>
  <c r="AH22" i="50"/>
  <c r="AI22" i="50"/>
  <c r="AJ22" i="50"/>
  <c r="AK22" i="50"/>
  <c r="AL22" i="50"/>
  <c r="AM22" i="50"/>
  <c r="AN22" i="50"/>
  <c r="AO22" i="50"/>
  <c r="AP22" i="50"/>
  <c r="AQ22" i="50"/>
  <c r="AR22" i="50"/>
  <c r="AS22" i="50"/>
  <c r="AT22" i="50"/>
  <c r="AU22" i="50"/>
  <c r="AV22" i="50"/>
  <c r="AW22" i="50"/>
  <c r="AX22" i="50"/>
  <c r="AY22" i="50"/>
  <c r="AZ22" i="50"/>
  <c r="BA22" i="50"/>
  <c r="BB22" i="50"/>
  <c r="BC22" i="50"/>
  <c r="BD22" i="50"/>
  <c r="BE22" i="50"/>
  <c r="BF22" i="50"/>
  <c r="BG22" i="50"/>
  <c r="BH22" i="50"/>
  <c r="BI22" i="50"/>
  <c r="BJ22" i="50"/>
  <c r="BK22" i="50"/>
  <c r="BL22" i="50"/>
  <c r="BM22" i="50"/>
  <c r="BN22" i="50"/>
  <c r="BO22" i="50"/>
  <c r="BP22" i="50"/>
  <c r="BQ22" i="50"/>
  <c r="BR22" i="50"/>
  <c r="BS22" i="50"/>
  <c r="BT22" i="50"/>
  <c r="BU22" i="50"/>
  <c r="BV22" i="50"/>
  <c r="BW22" i="50"/>
  <c r="BX22" i="50"/>
  <c r="BY22" i="50"/>
  <c r="BZ22" i="50"/>
  <c r="CA22" i="50"/>
  <c r="CB22" i="50"/>
  <c r="CC22" i="50"/>
  <c r="CD22" i="50"/>
  <c r="CE22" i="50"/>
  <c r="CF22" i="50"/>
  <c r="CG22" i="50"/>
  <c r="CH22" i="50"/>
  <c r="CI22" i="50"/>
  <c r="CJ22" i="50"/>
  <c r="CK22" i="50"/>
  <c r="CL22" i="50"/>
  <c r="CM22" i="50"/>
  <c r="CN22" i="50"/>
  <c r="CO22" i="50"/>
  <c r="CP22" i="50"/>
  <c r="CQ22" i="50"/>
  <c r="CR22" i="50"/>
  <c r="CS22" i="50"/>
  <c r="CT22" i="50"/>
  <c r="CU22" i="50"/>
  <c r="CV22" i="50"/>
  <c r="CW22" i="50"/>
  <c r="CX22" i="50"/>
  <c r="CY22" i="50"/>
  <c r="CZ22" i="50"/>
  <c r="DA22" i="50"/>
  <c r="DB22" i="50"/>
  <c r="DC22" i="50"/>
  <c r="DD22" i="50"/>
  <c r="DE22" i="50"/>
  <c r="DF22" i="50"/>
  <c r="DG22" i="50"/>
  <c r="DH22" i="50"/>
  <c r="DI22" i="50"/>
  <c r="DJ22" i="50"/>
  <c r="DK22" i="50"/>
  <c r="DL22" i="50"/>
  <c r="DM22" i="50"/>
  <c r="DN22" i="50"/>
  <c r="DO22" i="50"/>
  <c r="DP22" i="50"/>
  <c r="DQ22" i="50"/>
  <c r="DR22" i="50"/>
  <c r="DS22" i="50"/>
  <c r="DT22" i="50"/>
  <c r="DU22" i="50"/>
  <c r="DV22" i="50"/>
  <c r="DW22" i="50"/>
  <c r="DX22" i="50"/>
  <c r="DY22" i="50"/>
  <c r="DZ22" i="50"/>
  <c r="EA22" i="50"/>
  <c r="EB22" i="50"/>
  <c r="EC22" i="50"/>
  <c r="ED22" i="50"/>
  <c r="EE22" i="50"/>
  <c r="EF22" i="50"/>
  <c r="EG22" i="50"/>
  <c r="EH22" i="50"/>
  <c r="EI22" i="50"/>
  <c r="EJ22" i="50"/>
  <c r="EK22" i="50"/>
  <c r="EL22" i="50"/>
  <c r="EM22" i="50"/>
  <c r="EN22" i="50"/>
  <c r="EO22" i="50"/>
  <c r="EP22" i="50"/>
  <c r="EQ22" i="50"/>
  <c r="ER22" i="50"/>
  <c r="ES22" i="50"/>
  <c r="ET22" i="50"/>
  <c r="EU22" i="50"/>
  <c r="EV22" i="50"/>
  <c r="EW22" i="50"/>
  <c r="EX22" i="50"/>
  <c r="EY22" i="50"/>
  <c r="EZ22" i="50"/>
  <c r="FA22" i="50"/>
  <c r="FB22" i="50"/>
  <c r="FC22" i="50"/>
  <c r="FD22" i="50"/>
  <c r="FE22" i="50"/>
  <c r="FF22" i="50"/>
  <c r="FG22" i="50"/>
  <c r="FH22" i="50"/>
  <c r="FI22" i="50"/>
  <c r="FJ22" i="50"/>
  <c r="FK22" i="50"/>
  <c r="FL22" i="50"/>
  <c r="FM22" i="50"/>
  <c r="FN22" i="50"/>
  <c r="FO22" i="50"/>
  <c r="FP22" i="50"/>
  <c r="FQ22" i="50"/>
  <c r="FR22" i="50"/>
  <c r="FS22" i="50"/>
  <c r="FT22" i="50"/>
  <c r="FU22" i="50"/>
  <c r="FV22" i="50"/>
  <c r="FW22" i="50"/>
  <c r="FX22" i="50"/>
  <c r="FY22" i="50"/>
  <c r="FZ22" i="50"/>
  <c r="GA22" i="50"/>
  <c r="GB22" i="50"/>
  <c r="GC22" i="50"/>
  <c r="GD22" i="50"/>
  <c r="GE22" i="50"/>
  <c r="GF22" i="50"/>
  <c r="GG22" i="50"/>
  <c r="GH22" i="50"/>
  <c r="GI22" i="50"/>
  <c r="GJ22" i="50"/>
  <c r="GK22" i="50"/>
  <c r="GL22" i="50"/>
  <c r="GM22" i="50"/>
  <c r="GN22" i="50"/>
  <c r="GO22" i="50"/>
  <c r="GP22" i="50"/>
  <c r="GQ22" i="50"/>
  <c r="GR22" i="50"/>
  <c r="GS22" i="50"/>
  <c r="GT22" i="50"/>
  <c r="GU22" i="50"/>
  <c r="GV22" i="50"/>
  <c r="GW22" i="50"/>
  <c r="GX22" i="50"/>
  <c r="GY22" i="50"/>
  <c r="GZ22" i="50"/>
  <c r="HA22" i="50"/>
  <c r="HB22" i="50"/>
  <c r="HC22" i="50"/>
  <c r="HD22" i="50"/>
  <c r="HE22" i="50"/>
  <c r="HF22" i="50"/>
  <c r="HG22" i="50"/>
  <c r="HH22" i="50"/>
  <c r="HI22" i="50"/>
  <c r="HJ22" i="50"/>
  <c r="HK22" i="50"/>
  <c r="HL22" i="50"/>
  <c r="HM22" i="50"/>
  <c r="HN22" i="50"/>
  <c r="HO22" i="50"/>
  <c r="HP22" i="50"/>
  <c r="HQ22" i="50"/>
  <c r="HR22" i="50"/>
  <c r="HS22" i="50"/>
  <c r="HT22" i="50"/>
  <c r="HU22" i="50"/>
  <c r="HV22" i="50"/>
  <c r="HW22" i="50"/>
  <c r="HX22" i="50"/>
  <c r="HY22" i="50"/>
  <c r="HZ22" i="50"/>
  <c r="IA22" i="50"/>
  <c r="IB22" i="50"/>
  <c r="IC22" i="50"/>
  <c r="ID22" i="50"/>
  <c r="IE22" i="50"/>
  <c r="IF22" i="50"/>
  <c r="IG22" i="50"/>
  <c r="IH22" i="50"/>
  <c r="II22" i="50"/>
  <c r="IJ22" i="50"/>
  <c r="IK22" i="50"/>
  <c r="IL22" i="50"/>
  <c r="IM22" i="50"/>
  <c r="IN22" i="50"/>
  <c r="IO22" i="50"/>
  <c r="IP22" i="50"/>
  <c r="IQ22" i="50"/>
  <c r="IR22" i="50"/>
  <c r="IS22" i="50"/>
  <c r="IT22" i="50"/>
  <c r="IU22" i="50"/>
  <c r="IV22" i="50"/>
  <c r="F23" i="50"/>
  <c r="G23" i="50"/>
  <c r="H23" i="50"/>
  <c r="I23" i="50"/>
  <c r="J23" i="50"/>
  <c r="K23" i="50"/>
  <c r="L23" i="50"/>
  <c r="M23" i="50"/>
  <c r="N23" i="50"/>
  <c r="O23" i="50"/>
  <c r="P23" i="50"/>
  <c r="Q23" i="50"/>
  <c r="R23" i="50"/>
  <c r="S23" i="50"/>
  <c r="T23" i="50"/>
  <c r="U23" i="50"/>
  <c r="V23" i="50"/>
  <c r="W23" i="50"/>
  <c r="X23" i="50"/>
  <c r="Y23" i="50"/>
  <c r="Z23" i="50"/>
  <c r="AA23" i="50"/>
  <c r="AB23" i="50"/>
  <c r="AC23" i="50"/>
  <c r="AD23" i="50"/>
  <c r="AE23" i="50"/>
  <c r="AF23" i="50"/>
  <c r="AG23" i="50"/>
  <c r="AH23" i="50"/>
  <c r="AI23" i="50"/>
  <c r="AJ23" i="50"/>
  <c r="AK23" i="50"/>
  <c r="AL23" i="50"/>
  <c r="AM23" i="50"/>
  <c r="AN23" i="50"/>
  <c r="AO23" i="50"/>
  <c r="AP23" i="50"/>
  <c r="AQ23" i="50"/>
  <c r="AR23" i="50"/>
  <c r="AS23" i="50"/>
  <c r="AT23" i="50"/>
  <c r="AU23" i="50"/>
  <c r="AV23" i="50"/>
  <c r="AW23" i="50"/>
  <c r="AX23" i="50"/>
  <c r="AY23" i="50"/>
  <c r="AZ23" i="50"/>
  <c r="BA23" i="50"/>
  <c r="BB23" i="50"/>
  <c r="BC23" i="50"/>
  <c r="BD23" i="50"/>
  <c r="BE23" i="50"/>
  <c r="BF23" i="50"/>
  <c r="BG23" i="50"/>
  <c r="BH23" i="50"/>
  <c r="BI23" i="50"/>
  <c r="BJ23" i="50"/>
  <c r="BK23" i="50"/>
  <c r="BL23" i="50"/>
  <c r="BM23" i="50"/>
  <c r="BN23" i="50"/>
  <c r="BO23" i="50"/>
  <c r="BP23" i="50"/>
  <c r="BQ23" i="50"/>
  <c r="BR23" i="50"/>
  <c r="BS23" i="50"/>
  <c r="BT23" i="50"/>
  <c r="BU23" i="50"/>
  <c r="BV23" i="50"/>
  <c r="BW23" i="50"/>
  <c r="BX23" i="50"/>
  <c r="BY23" i="50"/>
  <c r="BZ23" i="50"/>
  <c r="CA23" i="50"/>
  <c r="CB23" i="50"/>
  <c r="CC23" i="50"/>
  <c r="CD23" i="50"/>
  <c r="CE23" i="50"/>
  <c r="CF23" i="50"/>
  <c r="CG23" i="50"/>
  <c r="CH23" i="50"/>
  <c r="CI23" i="50"/>
  <c r="CJ23" i="50"/>
  <c r="CK23" i="50"/>
  <c r="CL23" i="50"/>
  <c r="CM23" i="50"/>
  <c r="CN23" i="50"/>
  <c r="CO23" i="50"/>
  <c r="CP23" i="50"/>
  <c r="CQ23" i="50"/>
  <c r="CR23" i="50"/>
  <c r="CS23" i="50"/>
  <c r="CT23" i="50"/>
  <c r="CU23" i="50"/>
  <c r="CV23" i="50"/>
  <c r="CW23" i="50"/>
  <c r="CX23" i="50"/>
  <c r="CY23" i="50"/>
  <c r="CZ23" i="50"/>
  <c r="DA23" i="50"/>
  <c r="DB23" i="50"/>
  <c r="DC23" i="50"/>
  <c r="DD23" i="50"/>
  <c r="DE23" i="50"/>
  <c r="DF23" i="50"/>
  <c r="DG23" i="50"/>
  <c r="DH23" i="50"/>
  <c r="DI23" i="50"/>
  <c r="DJ23" i="50"/>
  <c r="DK23" i="50"/>
  <c r="DL23" i="50"/>
  <c r="DM23" i="50"/>
  <c r="DN23" i="50"/>
  <c r="DO23" i="50"/>
  <c r="DP23" i="50"/>
  <c r="DQ23" i="50"/>
  <c r="DR23" i="50"/>
  <c r="DS23" i="50"/>
  <c r="DT23" i="50"/>
  <c r="DU23" i="50"/>
  <c r="DV23" i="50"/>
  <c r="DW23" i="50"/>
  <c r="DX23" i="50"/>
  <c r="DY23" i="50"/>
  <c r="DZ23" i="50"/>
  <c r="EA23" i="50"/>
  <c r="EB23" i="50"/>
  <c r="EC23" i="50"/>
  <c r="ED23" i="50"/>
  <c r="EE23" i="50"/>
  <c r="EF23" i="50"/>
  <c r="EG23" i="50"/>
  <c r="EH23" i="50"/>
  <c r="EI23" i="50"/>
  <c r="EJ23" i="50"/>
  <c r="EK23" i="50"/>
  <c r="EL23" i="50"/>
  <c r="EM23" i="50"/>
  <c r="EN23" i="50"/>
  <c r="EO23" i="50"/>
  <c r="EP23" i="50"/>
  <c r="EQ23" i="50"/>
  <c r="ER23" i="50"/>
  <c r="ES23" i="50"/>
  <c r="ET23" i="50"/>
  <c r="EU23" i="50"/>
  <c r="EV23" i="50"/>
  <c r="EW23" i="50"/>
  <c r="EX23" i="50"/>
  <c r="EY23" i="50"/>
  <c r="EZ23" i="50"/>
  <c r="FA23" i="50"/>
  <c r="FB23" i="50"/>
  <c r="FC23" i="50"/>
  <c r="FD23" i="50"/>
  <c r="FE23" i="50"/>
  <c r="FF23" i="50"/>
  <c r="FG23" i="50"/>
  <c r="FH23" i="50"/>
  <c r="FI23" i="50"/>
  <c r="FJ23" i="50"/>
  <c r="FK23" i="50"/>
  <c r="FL23" i="50"/>
  <c r="FM23" i="50"/>
  <c r="FN23" i="50"/>
  <c r="FO23" i="50"/>
  <c r="FP23" i="50"/>
  <c r="FQ23" i="50"/>
  <c r="FR23" i="50"/>
  <c r="FS23" i="50"/>
  <c r="FT23" i="50"/>
  <c r="FU23" i="50"/>
  <c r="FV23" i="50"/>
  <c r="FW23" i="50"/>
  <c r="FX23" i="50"/>
  <c r="FY23" i="50"/>
  <c r="FZ23" i="50"/>
  <c r="GA23" i="50"/>
  <c r="GB23" i="50"/>
  <c r="GC23" i="50"/>
  <c r="GD23" i="50"/>
  <c r="GE23" i="50"/>
  <c r="GF23" i="50"/>
  <c r="GG23" i="50"/>
  <c r="GH23" i="50"/>
  <c r="GI23" i="50"/>
  <c r="GJ23" i="50"/>
  <c r="GK23" i="50"/>
  <c r="GL23" i="50"/>
  <c r="GM23" i="50"/>
  <c r="GN23" i="50"/>
  <c r="GO23" i="50"/>
  <c r="GP23" i="50"/>
  <c r="GQ23" i="50"/>
  <c r="GR23" i="50"/>
  <c r="GS23" i="50"/>
  <c r="GT23" i="50"/>
  <c r="GU23" i="50"/>
  <c r="GV23" i="50"/>
  <c r="GW23" i="50"/>
  <c r="GX23" i="50"/>
  <c r="GY23" i="50"/>
  <c r="GZ23" i="50"/>
  <c r="HA23" i="50"/>
  <c r="HB23" i="50"/>
  <c r="HC23" i="50"/>
  <c r="HD23" i="50"/>
  <c r="HE23" i="50"/>
  <c r="HF23" i="50"/>
  <c r="HG23" i="50"/>
  <c r="HH23" i="50"/>
  <c r="HI23" i="50"/>
  <c r="HJ23" i="50"/>
  <c r="HK23" i="50"/>
  <c r="HL23" i="50"/>
  <c r="HM23" i="50"/>
  <c r="HN23" i="50"/>
  <c r="HO23" i="50"/>
  <c r="HP23" i="50"/>
  <c r="HQ23" i="50"/>
  <c r="HR23" i="50"/>
  <c r="HS23" i="50"/>
  <c r="HT23" i="50"/>
  <c r="HU23" i="50"/>
  <c r="HV23" i="50"/>
  <c r="HW23" i="50"/>
  <c r="HX23" i="50"/>
  <c r="HY23" i="50"/>
  <c r="HZ23" i="50"/>
  <c r="IA23" i="50"/>
  <c r="IB23" i="50"/>
  <c r="IC23" i="50"/>
  <c r="ID23" i="50"/>
  <c r="IE23" i="50"/>
  <c r="IF23" i="50"/>
  <c r="IG23" i="50"/>
  <c r="IH23" i="50"/>
  <c r="II23" i="50"/>
  <c r="IJ23" i="50"/>
  <c r="IK23" i="50"/>
  <c r="IL23" i="50"/>
  <c r="IM23" i="50"/>
  <c r="IN23" i="50"/>
  <c r="IO23" i="50"/>
  <c r="IP23" i="50"/>
  <c r="IQ23" i="50"/>
  <c r="IR23" i="50"/>
  <c r="IS23" i="50"/>
  <c r="IT23" i="50"/>
  <c r="IU23" i="50"/>
  <c r="IV23" i="50"/>
  <c r="F24" i="50"/>
  <c r="G24" i="50"/>
  <c r="H24" i="50"/>
  <c r="I24" i="50"/>
  <c r="J24" i="50"/>
  <c r="K24" i="50"/>
  <c r="L24" i="50"/>
  <c r="M24" i="50"/>
  <c r="N24" i="50"/>
  <c r="O24" i="50"/>
  <c r="P24" i="50"/>
  <c r="Q24" i="50"/>
  <c r="R24" i="50"/>
  <c r="S24" i="50"/>
  <c r="T24" i="50"/>
  <c r="U24" i="50"/>
  <c r="V24" i="50"/>
  <c r="W24" i="50"/>
  <c r="X24" i="50"/>
  <c r="Y24" i="50"/>
  <c r="Z24" i="50"/>
  <c r="AA24" i="50"/>
  <c r="AB24" i="50"/>
  <c r="AC24" i="50"/>
  <c r="AD24" i="50"/>
  <c r="AE24" i="50"/>
  <c r="AF24" i="50"/>
  <c r="AG24" i="50"/>
  <c r="AH24" i="50"/>
  <c r="AI24" i="50"/>
  <c r="AJ24" i="50"/>
  <c r="AK24" i="50"/>
  <c r="AL24" i="50"/>
  <c r="AM24" i="50"/>
  <c r="AN24" i="50"/>
  <c r="AO24" i="50"/>
  <c r="AP24" i="50"/>
  <c r="AQ24" i="50"/>
  <c r="AR24" i="50"/>
  <c r="AS24" i="50"/>
  <c r="AT24" i="50"/>
  <c r="AU24" i="50"/>
  <c r="AV24" i="50"/>
  <c r="AW24" i="50"/>
  <c r="AX24" i="50"/>
  <c r="AY24" i="50"/>
  <c r="AZ24" i="50"/>
  <c r="BA24" i="50"/>
  <c r="BB24" i="50"/>
  <c r="BC24" i="50"/>
  <c r="BD24" i="50"/>
  <c r="BE24" i="50"/>
  <c r="BF24" i="50"/>
  <c r="BG24" i="50"/>
  <c r="BH24" i="50"/>
  <c r="BI24" i="50"/>
  <c r="BJ24" i="50"/>
  <c r="BK24" i="50"/>
  <c r="BL24" i="50"/>
  <c r="BM24" i="50"/>
  <c r="BN24" i="50"/>
  <c r="BO24" i="50"/>
  <c r="BP24" i="50"/>
  <c r="BQ24" i="50"/>
  <c r="BR24" i="50"/>
  <c r="BS24" i="50"/>
  <c r="BT24" i="50"/>
  <c r="BU24" i="50"/>
  <c r="BV24" i="50"/>
  <c r="BW24" i="50"/>
  <c r="BX24" i="50"/>
  <c r="BY24" i="50"/>
  <c r="BZ24" i="50"/>
  <c r="CA24" i="50"/>
  <c r="CB24" i="50"/>
  <c r="CC24" i="50"/>
  <c r="CD24" i="50"/>
  <c r="CE24" i="50"/>
  <c r="CF24" i="50"/>
  <c r="CG24" i="50"/>
  <c r="CH24" i="50"/>
  <c r="CI24" i="50"/>
  <c r="CJ24" i="50"/>
  <c r="CK24" i="50"/>
  <c r="CL24" i="50"/>
  <c r="CM24" i="50"/>
  <c r="CN24" i="50"/>
  <c r="CO24" i="50"/>
  <c r="CP24" i="50"/>
  <c r="CQ24" i="50"/>
  <c r="CR24" i="50"/>
  <c r="CS24" i="50"/>
  <c r="CT24" i="50"/>
  <c r="CU24" i="50"/>
  <c r="CV24" i="50"/>
  <c r="CW24" i="50"/>
  <c r="CX24" i="50"/>
  <c r="CY24" i="50"/>
  <c r="CZ24" i="50"/>
  <c r="DA24" i="50"/>
  <c r="DB24" i="50"/>
  <c r="DC24" i="50"/>
  <c r="DD24" i="50"/>
  <c r="DE24" i="50"/>
  <c r="DF24" i="50"/>
  <c r="DG24" i="50"/>
  <c r="DH24" i="50"/>
  <c r="DI24" i="50"/>
  <c r="DJ24" i="50"/>
  <c r="DK24" i="50"/>
  <c r="DL24" i="50"/>
  <c r="DM24" i="50"/>
  <c r="DN24" i="50"/>
  <c r="DO24" i="50"/>
  <c r="DP24" i="50"/>
  <c r="DQ24" i="50"/>
  <c r="DR24" i="50"/>
  <c r="DS24" i="50"/>
  <c r="DT24" i="50"/>
  <c r="DU24" i="50"/>
  <c r="DV24" i="50"/>
  <c r="DW24" i="50"/>
  <c r="DX24" i="50"/>
  <c r="DY24" i="50"/>
  <c r="DZ24" i="50"/>
  <c r="EA24" i="50"/>
  <c r="EB24" i="50"/>
  <c r="EC24" i="50"/>
  <c r="ED24" i="50"/>
  <c r="EE24" i="50"/>
  <c r="EF24" i="50"/>
  <c r="EG24" i="50"/>
  <c r="EH24" i="50"/>
  <c r="EI24" i="50"/>
  <c r="EJ24" i="50"/>
  <c r="EK24" i="50"/>
  <c r="EL24" i="50"/>
  <c r="EM24" i="50"/>
  <c r="EN24" i="50"/>
  <c r="EO24" i="50"/>
  <c r="EP24" i="50"/>
  <c r="EQ24" i="50"/>
  <c r="ER24" i="50"/>
  <c r="ES24" i="50"/>
  <c r="ET24" i="50"/>
  <c r="EU24" i="50"/>
  <c r="EV24" i="50"/>
  <c r="EW24" i="50"/>
  <c r="EX24" i="50"/>
  <c r="EY24" i="50"/>
  <c r="EZ24" i="50"/>
  <c r="FA24" i="50"/>
  <c r="FB24" i="50"/>
  <c r="FC24" i="50"/>
  <c r="FD24" i="50"/>
  <c r="FE24" i="50"/>
  <c r="FF24" i="50"/>
  <c r="FG24" i="50"/>
  <c r="FH24" i="50"/>
  <c r="FI24" i="50"/>
  <c r="FJ24" i="50"/>
  <c r="FK24" i="50"/>
  <c r="FL24" i="50"/>
  <c r="FM24" i="50"/>
  <c r="FN24" i="50"/>
  <c r="FO24" i="50"/>
  <c r="FP24" i="50"/>
  <c r="FQ24" i="50"/>
  <c r="FR24" i="50"/>
  <c r="FS24" i="50"/>
  <c r="FT24" i="50"/>
  <c r="FU24" i="50"/>
  <c r="FV24" i="50"/>
  <c r="FW24" i="50"/>
  <c r="FX24" i="50"/>
  <c r="FY24" i="50"/>
  <c r="FZ24" i="50"/>
  <c r="GA24" i="50"/>
  <c r="GB24" i="50"/>
  <c r="GC24" i="50"/>
  <c r="GD24" i="50"/>
  <c r="GE24" i="50"/>
  <c r="GF24" i="50"/>
  <c r="GG24" i="50"/>
  <c r="GH24" i="50"/>
  <c r="GI24" i="50"/>
  <c r="GJ24" i="50"/>
  <c r="GK24" i="50"/>
  <c r="GL24" i="50"/>
  <c r="GM24" i="50"/>
  <c r="GN24" i="50"/>
  <c r="GO24" i="50"/>
  <c r="GP24" i="50"/>
  <c r="GQ24" i="50"/>
  <c r="GR24" i="50"/>
  <c r="GS24" i="50"/>
  <c r="GT24" i="50"/>
  <c r="GU24" i="50"/>
  <c r="GV24" i="50"/>
  <c r="GW24" i="50"/>
  <c r="GX24" i="50"/>
  <c r="GY24" i="50"/>
  <c r="GZ24" i="50"/>
  <c r="HA24" i="50"/>
  <c r="HB24" i="50"/>
  <c r="HC24" i="50"/>
  <c r="HD24" i="50"/>
  <c r="HE24" i="50"/>
  <c r="HF24" i="50"/>
  <c r="HG24" i="50"/>
  <c r="HH24" i="50"/>
  <c r="HI24" i="50"/>
  <c r="HJ24" i="50"/>
  <c r="HK24" i="50"/>
  <c r="HL24" i="50"/>
  <c r="HM24" i="50"/>
  <c r="HN24" i="50"/>
  <c r="HO24" i="50"/>
  <c r="HP24" i="50"/>
  <c r="HQ24" i="50"/>
  <c r="HR24" i="50"/>
  <c r="HS24" i="50"/>
  <c r="HT24" i="50"/>
  <c r="HU24" i="50"/>
  <c r="HV24" i="50"/>
  <c r="HW24" i="50"/>
  <c r="HX24" i="50"/>
  <c r="HY24" i="50"/>
  <c r="HZ24" i="50"/>
  <c r="IA24" i="50"/>
  <c r="IB24" i="50"/>
  <c r="IC24" i="50"/>
  <c r="ID24" i="50"/>
  <c r="IE24" i="50"/>
  <c r="IF24" i="50"/>
  <c r="IG24" i="50"/>
  <c r="IH24" i="50"/>
  <c r="II24" i="50"/>
  <c r="IJ24" i="50"/>
  <c r="IK24" i="50"/>
  <c r="IL24" i="50"/>
  <c r="IM24" i="50"/>
  <c r="IN24" i="50"/>
  <c r="IO24" i="50"/>
  <c r="IP24" i="50"/>
  <c r="IQ24" i="50"/>
  <c r="IR24" i="50"/>
  <c r="IS24" i="50"/>
  <c r="IT24" i="50"/>
  <c r="IU24" i="50"/>
  <c r="IV24" i="50"/>
  <c r="F25" i="50"/>
  <c r="G25" i="50"/>
  <c r="H25" i="50"/>
  <c r="I25" i="50"/>
  <c r="J25" i="50"/>
  <c r="K25" i="50"/>
  <c r="L25" i="50"/>
  <c r="M25" i="50"/>
  <c r="N25" i="50"/>
  <c r="O25" i="50"/>
  <c r="P25" i="50"/>
  <c r="Q25" i="50"/>
  <c r="R25" i="50"/>
  <c r="S25" i="50"/>
  <c r="T25" i="50"/>
  <c r="U25" i="50"/>
  <c r="V25" i="50"/>
  <c r="W25" i="50"/>
  <c r="X25" i="50"/>
  <c r="Y25" i="50"/>
  <c r="Z25" i="50"/>
  <c r="AA25" i="50"/>
  <c r="AB25" i="50"/>
  <c r="AC25" i="50"/>
  <c r="AD25" i="50"/>
  <c r="AE25" i="50"/>
  <c r="AF25" i="50"/>
  <c r="AG25" i="50"/>
  <c r="AH25" i="50"/>
  <c r="AI25" i="50"/>
  <c r="AJ25" i="50"/>
  <c r="AK25" i="50"/>
  <c r="AL25" i="50"/>
  <c r="AM25" i="50"/>
  <c r="AN25" i="50"/>
  <c r="AO25" i="50"/>
  <c r="AP25" i="50"/>
  <c r="AQ25" i="50"/>
  <c r="AR25" i="50"/>
  <c r="AS25" i="50"/>
  <c r="AT25" i="50"/>
  <c r="AU25" i="50"/>
  <c r="AV25" i="50"/>
  <c r="AW25" i="50"/>
  <c r="AX25" i="50"/>
  <c r="AY25" i="50"/>
  <c r="AZ25" i="50"/>
  <c r="BA25" i="50"/>
  <c r="BB25" i="50"/>
  <c r="BC25" i="50"/>
  <c r="BD25" i="50"/>
  <c r="BE25" i="50"/>
  <c r="BF25" i="50"/>
  <c r="BG25" i="50"/>
  <c r="BH25" i="50"/>
  <c r="BI25" i="50"/>
  <c r="BJ25" i="50"/>
  <c r="BK25" i="50"/>
  <c r="BL25" i="50"/>
  <c r="BM25" i="50"/>
  <c r="BN25" i="50"/>
  <c r="BO25" i="50"/>
  <c r="BP25" i="50"/>
  <c r="BQ25" i="50"/>
  <c r="BR25" i="50"/>
  <c r="BS25" i="50"/>
  <c r="BT25" i="50"/>
  <c r="BU25" i="50"/>
  <c r="BV25" i="50"/>
  <c r="BW25" i="50"/>
  <c r="BX25" i="50"/>
  <c r="BY25" i="50"/>
  <c r="BZ25" i="50"/>
  <c r="CA25" i="50"/>
  <c r="CB25" i="50"/>
  <c r="CC25" i="50"/>
  <c r="CD25" i="50"/>
  <c r="CE25" i="50"/>
  <c r="CF25" i="50"/>
  <c r="CG25" i="50"/>
  <c r="CH25" i="50"/>
  <c r="CI25" i="50"/>
  <c r="CJ25" i="50"/>
  <c r="CK25" i="50"/>
  <c r="CL25" i="50"/>
  <c r="CM25" i="50"/>
  <c r="CN25" i="50"/>
  <c r="CO25" i="50"/>
  <c r="CP25" i="50"/>
  <c r="CQ25" i="50"/>
  <c r="CR25" i="50"/>
  <c r="CS25" i="50"/>
  <c r="CT25" i="50"/>
  <c r="CU25" i="50"/>
  <c r="CV25" i="50"/>
  <c r="CW25" i="50"/>
  <c r="CX25" i="50"/>
  <c r="CY25" i="50"/>
  <c r="CZ25" i="50"/>
  <c r="DA25" i="50"/>
  <c r="DB25" i="50"/>
  <c r="DC25" i="50"/>
  <c r="DD25" i="50"/>
  <c r="DE25" i="50"/>
  <c r="DF25" i="50"/>
  <c r="DG25" i="50"/>
  <c r="DH25" i="50"/>
  <c r="DI25" i="50"/>
  <c r="DJ25" i="50"/>
  <c r="DK25" i="50"/>
  <c r="DL25" i="50"/>
  <c r="DM25" i="50"/>
  <c r="DN25" i="50"/>
  <c r="DO25" i="50"/>
  <c r="DP25" i="50"/>
  <c r="DQ25" i="50"/>
  <c r="DR25" i="50"/>
  <c r="DS25" i="50"/>
  <c r="DT25" i="50"/>
  <c r="DU25" i="50"/>
  <c r="DV25" i="50"/>
  <c r="DW25" i="50"/>
  <c r="DX25" i="50"/>
  <c r="DY25" i="50"/>
  <c r="DZ25" i="50"/>
  <c r="EA25" i="50"/>
  <c r="EB25" i="50"/>
  <c r="EC25" i="50"/>
  <c r="ED25" i="50"/>
  <c r="EE25" i="50"/>
  <c r="EF25" i="50"/>
  <c r="EG25" i="50"/>
  <c r="EH25" i="50"/>
  <c r="EI25" i="50"/>
  <c r="EJ25" i="50"/>
  <c r="EK25" i="50"/>
  <c r="EL25" i="50"/>
  <c r="EM25" i="50"/>
  <c r="EN25" i="50"/>
  <c r="EO25" i="50"/>
  <c r="EP25" i="50"/>
  <c r="EQ25" i="50"/>
  <c r="ER25" i="50"/>
  <c r="ES25" i="50"/>
  <c r="ET25" i="50"/>
  <c r="EU25" i="50"/>
  <c r="EV25" i="50"/>
  <c r="EW25" i="50"/>
  <c r="EX25" i="50"/>
  <c r="EY25" i="50"/>
  <c r="EZ25" i="50"/>
  <c r="FA25" i="50"/>
  <c r="FB25" i="50"/>
  <c r="FC25" i="50"/>
  <c r="FD25" i="50"/>
  <c r="FE25" i="50"/>
  <c r="FF25" i="50"/>
  <c r="FG25" i="50"/>
  <c r="FH25" i="50"/>
  <c r="FI25" i="50"/>
  <c r="FJ25" i="50"/>
  <c r="FK25" i="50"/>
  <c r="FL25" i="50"/>
  <c r="FM25" i="50"/>
  <c r="FN25" i="50"/>
  <c r="FO25" i="50"/>
  <c r="FP25" i="50"/>
  <c r="FQ25" i="50"/>
  <c r="FR25" i="50"/>
  <c r="FS25" i="50"/>
  <c r="FT25" i="50"/>
  <c r="FU25" i="50"/>
  <c r="FV25" i="50"/>
  <c r="FW25" i="50"/>
  <c r="FX25" i="50"/>
  <c r="FY25" i="50"/>
  <c r="FZ25" i="50"/>
  <c r="GA25" i="50"/>
  <c r="GB25" i="50"/>
  <c r="GC25" i="50"/>
  <c r="GD25" i="50"/>
  <c r="GE25" i="50"/>
  <c r="GF25" i="50"/>
  <c r="GG25" i="50"/>
  <c r="GH25" i="50"/>
  <c r="GI25" i="50"/>
  <c r="GJ25" i="50"/>
  <c r="GK25" i="50"/>
  <c r="GL25" i="50"/>
  <c r="GM25" i="50"/>
  <c r="GN25" i="50"/>
  <c r="GO25" i="50"/>
  <c r="GP25" i="50"/>
  <c r="GQ25" i="50"/>
  <c r="GR25" i="50"/>
  <c r="GS25" i="50"/>
  <c r="GT25" i="50"/>
  <c r="GU25" i="50"/>
  <c r="GV25" i="50"/>
  <c r="GW25" i="50"/>
  <c r="GX25" i="50"/>
  <c r="GY25" i="50"/>
  <c r="GZ25" i="50"/>
  <c r="HA25" i="50"/>
  <c r="HB25" i="50"/>
  <c r="HC25" i="50"/>
  <c r="HD25" i="50"/>
  <c r="HE25" i="50"/>
  <c r="HF25" i="50"/>
  <c r="HG25" i="50"/>
  <c r="HH25" i="50"/>
  <c r="HI25" i="50"/>
  <c r="HJ25" i="50"/>
  <c r="HK25" i="50"/>
  <c r="HL25" i="50"/>
  <c r="HM25" i="50"/>
  <c r="HN25" i="50"/>
  <c r="HO25" i="50"/>
  <c r="HP25" i="50"/>
  <c r="HQ25" i="50"/>
  <c r="HR25" i="50"/>
  <c r="HS25" i="50"/>
  <c r="HT25" i="50"/>
  <c r="HU25" i="50"/>
  <c r="HV25" i="50"/>
  <c r="HW25" i="50"/>
  <c r="HX25" i="50"/>
  <c r="HY25" i="50"/>
  <c r="HZ25" i="50"/>
  <c r="IA25" i="50"/>
  <c r="IB25" i="50"/>
  <c r="IC25" i="50"/>
  <c r="ID25" i="50"/>
  <c r="IE25" i="50"/>
  <c r="IF25" i="50"/>
  <c r="IG25" i="50"/>
  <c r="IH25" i="50"/>
  <c r="II25" i="50"/>
  <c r="IJ25" i="50"/>
  <c r="IK25" i="50"/>
  <c r="IL25" i="50"/>
  <c r="IM25" i="50"/>
  <c r="IN25" i="50"/>
  <c r="IO25" i="50"/>
  <c r="IP25" i="50"/>
  <c r="IQ25" i="50"/>
  <c r="IR25" i="50"/>
  <c r="IS25" i="50"/>
  <c r="IT25" i="50"/>
  <c r="IU25" i="50"/>
  <c r="IV25" i="50"/>
  <c r="F26" i="50"/>
  <c r="G26" i="50"/>
  <c r="H26" i="50"/>
  <c r="I26" i="50"/>
  <c r="J26" i="50"/>
  <c r="K26" i="50"/>
  <c r="L26" i="50"/>
  <c r="M26" i="50"/>
  <c r="N26" i="50"/>
  <c r="O26" i="50"/>
  <c r="P26" i="50"/>
  <c r="Q26" i="50"/>
  <c r="R26" i="50"/>
  <c r="S26" i="50"/>
  <c r="T26" i="50"/>
  <c r="U26" i="50"/>
  <c r="V26" i="50"/>
  <c r="W26" i="50"/>
  <c r="X26" i="50"/>
  <c r="Y26" i="50"/>
  <c r="Z26" i="50"/>
  <c r="AA26" i="50"/>
  <c r="AB26" i="50"/>
  <c r="AC26" i="50"/>
  <c r="AD26" i="50"/>
  <c r="AE26" i="50"/>
  <c r="AF26" i="50"/>
  <c r="AG26" i="50"/>
  <c r="AH26" i="50"/>
  <c r="AI26" i="50"/>
  <c r="AJ26" i="50"/>
  <c r="AK26" i="50"/>
  <c r="AL26" i="50"/>
  <c r="AM26" i="50"/>
  <c r="AN26" i="50"/>
  <c r="AO26" i="50"/>
  <c r="AP26" i="50"/>
  <c r="AQ26" i="50"/>
  <c r="AR26" i="50"/>
  <c r="AS26" i="50"/>
  <c r="AT26" i="50"/>
  <c r="AU26" i="50"/>
  <c r="AV26" i="50"/>
  <c r="AW26" i="50"/>
  <c r="AX26" i="50"/>
  <c r="AY26" i="50"/>
  <c r="AZ26" i="50"/>
  <c r="BA26" i="50"/>
  <c r="BB26" i="50"/>
  <c r="BC26" i="50"/>
  <c r="BD26" i="50"/>
  <c r="BE26" i="50"/>
  <c r="BF26" i="50"/>
  <c r="BG26" i="50"/>
  <c r="BH26" i="50"/>
  <c r="BI26" i="50"/>
  <c r="BJ26" i="50"/>
  <c r="BK26" i="50"/>
  <c r="BL26" i="50"/>
  <c r="BM26" i="50"/>
  <c r="BN26" i="50"/>
  <c r="BO26" i="50"/>
  <c r="BP26" i="50"/>
  <c r="BQ26" i="50"/>
  <c r="BR26" i="50"/>
  <c r="BS26" i="50"/>
  <c r="BT26" i="50"/>
  <c r="BU26" i="50"/>
  <c r="BV26" i="50"/>
  <c r="BW26" i="50"/>
  <c r="BX26" i="50"/>
  <c r="BY26" i="50"/>
  <c r="BZ26" i="50"/>
  <c r="CA26" i="50"/>
  <c r="CB26" i="50"/>
  <c r="CC26" i="50"/>
  <c r="CD26" i="50"/>
  <c r="CE26" i="50"/>
  <c r="CF26" i="50"/>
  <c r="CG26" i="50"/>
  <c r="CH26" i="50"/>
  <c r="CI26" i="50"/>
  <c r="CJ26" i="50"/>
  <c r="CK26" i="50"/>
  <c r="CL26" i="50"/>
  <c r="CM26" i="50"/>
  <c r="CN26" i="50"/>
  <c r="CO26" i="50"/>
  <c r="CP26" i="50"/>
  <c r="CQ26" i="50"/>
  <c r="CR26" i="50"/>
  <c r="CS26" i="50"/>
  <c r="CT26" i="50"/>
  <c r="CU26" i="50"/>
  <c r="CV26" i="50"/>
  <c r="CW26" i="50"/>
  <c r="CX26" i="50"/>
  <c r="CY26" i="50"/>
  <c r="CZ26" i="50"/>
  <c r="DA26" i="50"/>
  <c r="DB26" i="50"/>
  <c r="DC26" i="50"/>
  <c r="DD26" i="50"/>
  <c r="DE26" i="50"/>
  <c r="DF26" i="50"/>
  <c r="DG26" i="50"/>
  <c r="DH26" i="50"/>
  <c r="DI26" i="50"/>
  <c r="DJ26" i="50"/>
  <c r="DK26" i="50"/>
  <c r="DL26" i="50"/>
  <c r="DM26" i="50"/>
  <c r="DN26" i="50"/>
  <c r="DO26" i="50"/>
  <c r="DP26" i="50"/>
  <c r="DQ26" i="50"/>
  <c r="DR26" i="50"/>
  <c r="DS26" i="50"/>
  <c r="DT26" i="50"/>
  <c r="DU26" i="50"/>
  <c r="DV26" i="50"/>
  <c r="DW26" i="50"/>
  <c r="DX26" i="50"/>
  <c r="DY26" i="50"/>
  <c r="DZ26" i="50"/>
  <c r="EA26" i="50"/>
  <c r="EB26" i="50"/>
  <c r="EC26" i="50"/>
  <c r="ED26" i="50"/>
  <c r="EE26" i="50"/>
  <c r="EF26" i="50"/>
  <c r="EG26" i="50"/>
  <c r="EH26" i="50"/>
  <c r="EI26" i="50"/>
  <c r="EJ26" i="50"/>
  <c r="EK26" i="50"/>
  <c r="EL26" i="50"/>
  <c r="EM26" i="50"/>
  <c r="EN26" i="50"/>
  <c r="EO26" i="50"/>
  <c r="EP26" i="50"/>
  <c r="EQ26" i="50"/>
  <c r="ER26" i="50"/>
  <c r="ES26" i="50"/>
  <c r="ET26" i="50"/>
  <c r="EU26" i="50"/>
  <c r="EV26" i="50"/>
  <c r="EW26" i="50"/>
  <c r="EX26" i="50"/>
  <c r="EY26" i="50"/>
  <c r="EZ26" i="50"/>
  <c r="FA26" i="50"/>
  <c r="FB26" i="50"/>
  <c r="FC26" i="50"/>
  <c r="FD26" i="50"/>
  <c r="FE26" i="50"/>
  <c r="FF26" i="50"/>
  <c r="FG26" i="50"/>
  <c r="FH26" i="50"/>
  <c r="FI26" i="50"/>
  <c r="FJ26" i="50"/>
  <c r="FK26" i="50"/>
  <c r="FL26" i="50"/>
  <c r="FM26" i="50"/>
  <c r="FN26" i="50"/>
  <c r="FO26" i="50"/>
  <c r="FP26" i="50"/>
  <c r="FQ26" i="50"/>
  <c r="FR26" i="50"/>
  <c r="FS26" i="50"/>
  <c r="FT26" i="50"/>
  <c r="FU26" i="50"/>
  <c r="FV26" i="50"/>
  <c r="FW26" i="50"/>
  <c r="FX26" i="50"/>
  <c r="FY26" i="50"/>
  <c r="FZ26" i="50"/>
  <c r="GA26" i="50"/>
  <c r="GB26" i="50"/>
  <c r="GC26" i="50"/>
  <c r="GD26" i="50"/>
  <c r="GE26" i="50"/>
  <c r="GF26" i="50"/>
  <c r="GG26" i="50"/>
  <c r="GH26" i="50"/>
  <c r="GI26" i="50"/>
  <c r="GJ26" i="50"/>
  <c r="GK26" i="50"/>
  <c r="GL26" i="50"/>
  <c r="GM26" i="50"/>
  <c r="GN26" i="50"/>
  <c r="GO26" i="50"/>
  <c r="GP26" i="50"/>
  <c r="GQ26" i="50"/>
  <c r="GR26" i="50"/>
  <c r="GS26" i="50"/>
  <c r="GT26" i="50"/>
  <c r="GU26" i="50"/>
  <c r="GV26" i="50"/>
  <c r="GW26" i="50"/>
  <c r="GX26" i="50"/>
  <c r="GY26" i="50"/>
  <c r="GZ26" i="50"/>
  <c r="HA26" i="50"/>
  <c r="HB26" i="50"/>
  <c r="HC26" i="50"/>
  <c r="HD26" i="50"/>
  <c r="HE26" i="50"/>
  <c r="HF26" i="50"/>
  <c r="HG26" i="50"/>
  <c r="HH26" i="50"/>
  <c r="HI26" i="50"/>
  <c r="HJ26" i="50"/>
  <c r="HK26" i="50"/>
  <c r="HL26" i="50"/>
  <c r="HM26" i="50"/>
  <c r="HN26" i="50"/>
  <c r="HO26" i="50"/>
  <c r="HP26" i="50"/>
  <c r="HQ26" i="50"/>
  <c r="HR26" i="50"/>
  <c r="HS26" i="50"/>
  <c r="HT26" i="50"/>
  <c r="HU26" i="50"/>
  <c r="HV26" i="50"/>
  <c r="HW26" i="50"/>
  <c r="HX26" i="50"/>
  <c r="HY26" i="50"/>
  <c r="HZ26" i="50"/>
  <c r="IA26" i="50"/>
  <c r="IB26" i="50"/>
  <c r="IC26" i="50"/>
  <c r="ID26" i="50"/>
  <c r="IE26" i="50"/>
  <c r="IF26" i="50"/>
  <c r="IG26" i="50"/>
  <c r="IH26" i="50"/>
  <c r="II26" i="50"/>
  <c r="IJ26" i="50"/>
  <c r="IK26" i="50"/>
  <c r="IL26" i="50"/>
  <c r="IM26" i="50"/>
  <c r="IN26" i="50"/>
  <c r="IO26" i="50"/>
  <c r="IP26" i="50"/>
  <c r="IQ26" i="50"/>
  <c r="IR26" i="50"/>
  <c r="IS26" i="50"/>
  <c r="IT26" i="50"/>
  <c r="IU26" i="50"/>
  <c r="IV26" i="50"/>
  <c r="F27" i="50"/>
  <c r="G27" i="50"/>
  <c r="H27" i="50"/>
  <c r="I27" i="50"/>
  <c r="J27" i="50"/>
  <c r="K27" i="50"/>
  <c r="L27" i="50"/>
  <c r="M27" i="50"/>
  <c r="N27" i="50"/>
  <c r="O27" i="50"/>
  <c r="P27" i="50"/>
  <c r="Q27" i="50"/>
  <c r="R27" i="50"/>
  <c r="S27" i="50"/>
  <c r="T27" i="50"/>
  <c r="U27" i="50"/>
  <c r="V27" i="50"/>
  <c r="W27" i="50"/>
  <c r="X27" i="50"/>
  <c r="Y27" i="50"/>
  <c r="Z27" i="50"/>
  <c r="AA27" i="50"/>
  <c r="AB27" i="50"/>
  <c r="AC27" i="50"/>
  <c r="AD27" i="50"/>
  <c r="AE27" i="50"/>
  <c r="AF27" i="50"/>
  <c r="AG27" i="50"/>
  <c r="AH27" i="50"/>
  <c r="AI27" i="50"/>
  <c r="AJ27" i="50"/>
  <c r="AK27" i="50"/>
  <c r="AL27" i="50"/>
  <c r="AM27" i="50"/>
  <c r="AN27" i="50"/>
  <c r="AO27" i="50"/>
  <c r="AP27" i="50"/>
  <c r="AQ27" i="50"/>
  <c r="AR27" i="50"/>
  <c r="AS27" i="50"/>
  <c r="AT27" i="50"/>
  <c r="AU27" i="50"/>
  <c r="AV27" i="50"/>
  <c r="AW27" i="50"/>
  <c r="AX27" i="50"/>
  <c r="AY27" i="50"/>
  <c r="AZ27" i="50"/>
  <c r="BA27" i="50"/>
  <c r="BB27" i="50"/>
  <c r="BC27" i="50"/>
  <c r="BD27" i="50"/>
  <c r="BE27" i="50"/>
  <c r="BF27" i="50"/>
  <c r="BG27" i="50"/>
  <c r="BH27" i="50"/>
  <c r="BI27" i="50"/>
  <c r="BJ27" i="50"/>
  <c r="BK27" i="50"/>
  <c r="BL27" i="50"/>
  <c r="BM27" i="50"/>
  <c r="BN27" i="50"/>
  <c r="BO27" i="50"/>
  <c r="BP27" i="50"/>
  <c r="BQ27" i="50"/>
  <c r="BR27" i="50"/>
  <c r="BS27" i="50"/>
  <c r="BT27" i="50"/>
  <c r="BU27" i="50"/>
  <c r="BV27" i="50"/>
  <c r="BW27" i="50"/>
  <c r="BX27" i="50"/>
  <c r="BY27" i="50"/>
  <c r="BZ27" i="50"/>
  <c r="CA27" i="50"/>
  <c r="CB27" i="50"/>
  <c r="CC27" i="50"/>
  <c r="CD27" i="50"/>
  <c r="CE27" i="50"/>
  <c r="CF27" i="50"/>
  <c r="CG27" i="50"/>
  <c r="CH27" i="50"/>
  <c r="CI27" i="50"/>
  <c r="CJ27" i="50"/>
  <c r="CK27" i="50"/>
  <c r="CL27" i="50"/>
  <c r="CM27" i="50"/>
  <c r="CN27" i="50"/>
  <c r="CO27" i="50"/>
  <c r="CP27" i="50"/>
  <c r="CQ27" i="50"/>
  <c r="CR27" i="50"/>
  <c r="CS27" i="50"/>
  <c r="CT27" i="50"/>
  <c r="CU27" i="50"/>
  <c r="CV27" i="50"/>
  <c r="CW27" i="50"/>
  <c r="CX27" i="50"/>
  <c r="CY27" i="50"/>
  <c r="CZ27" i="50"/>
  <c r="DA27" i="50"/>
  <c r="DB27" i="50"/>
  <c r="DC27" i="50"/>
  <c r="DD27" i="50"/>
  <c r="DE27" i="50"/>
  <c r="DF27" i="50"/>
  <c r="DG27" i="50"/>
  <c r="DH27" i="50"/>
  <c r="DI27" i="50"/>
  <c r="DJ27" i="50"/>
  <c r="DK27" i="50"/>
  <c r="DL27" i="50"/>
  <c r="DM27" i="50"/>
  <c r="DN27" i="50"/>
  <c r="DO27" i="50"/>
  <c r="DP27" i="50"/>
  <c r="DQ27" i="50"/>
  <c r="DR27" i="50"/>
  <c r="DS27" i="50"/>
  <c r="DT27" i="50"/>
  <c r="DU27" i="50"/>
  <c r="DV27" i="50"/>
  <c r="DW27" i="50"/>
  <c r="DX27" i="50"/>
  <c r="DY27" i="50"/>
  <c r="DZ27" i="50"/>
  <c r="EA27" i="50"/>
  <c r="EB27" i="50"/>
  <c r="EC27" i="50"/>
  <c r="ED27" i="50"/>
  <c r="EE27" i="50"/>
  <c r="EF27" i="50"/>
  <c r="EG27" i="50"/>
  <c r="EH27" i="50"/>
  <c r="EI27" i="50"/>
  <c r="EJ27" i="50"/>
  <c r="EK27" i="50"/>
  <c r="EL27" i="50"/>
  <c r="EM27" i="50"/>
  <c r="EN27" i="50"/>
  <c r="EO27" i="50"/>
  <c r="EP27" i="50"/>
  <c r="EQ27" i="50"/>
  <c r="ER27" i="50"/>
  <c r="ES27" i="50"/>
  <c r="ET27" i="50"/>
  <c r="EU27" i="50"/>
  <c r="EV27" i="50"/>
  <c r="EW27" i="50"/>
  <c r="EX27" i="50"/>
  <c r="EY27" i="50"/>
  <c r="EZ27" i="50"/>
  <c r="FA27" i="50"/>
  <c r="FB27" i="50"/>
  <c r="FC27" i="50"/>
  <c r="FD27" i="50"/>
  <c r="FE27" i="50"/>
  <c r="FF27" i="50"/>
  <c r="FG27" i="50"/>
  <c r="FH27" i="50"/>
  <c r="FI27" i="50"/>
  <c r="FJ27" i="50"/>
  <c r="FK27" i="50"/>
  <c r="FL27" i="50"/>
  <c r="FM27" i="50"/>
  <c r="FN27" i="50"/>
  <c r="FO27" i="50"/>
  <c r="FP27" i="50"/>
  <c r="FQ27" i="50"/>
  <c r="FR27" i="50"/>
  <c r="FS27" i="50"/>
  <c r="FT27" i="50"/>
  <c r="FU27" i="50"/>
  <c r="FV27" i="50"/>
  <c r="FW27" i="50"/>
  <c r="FX27" i="50"/>
  <c r="FY27" i="50"/>
  <c r="FZ27" i="50"/>
  <c r="GA27" i="50"/>
  <c r="GB27" i="50"/>
  <c r="GC27" i="50"/>
  <c r="GD27" i="50"/>
  <c r="GE27" i="50"/>
  <c r="GF27" i="50"/>
  <c r="GG27" i="50"/>
  <c r="GH27" i="50"/>
  <c r="GI27" i="50"/>
  <c r="GJ27" i="50"/>
  <c r="GK27" i="50"/>
  <c r="GL27" i="50"/>
  <c r="GM27" i="50"/>
  <c r="GN27" i="50"/>
  <c r="GO27" i="50"/>
  <c r="GP27" i="50"/>
  <c r="GQ27" i="50"/>
  <c r="GR27" i="50"/>
  <c r="GS27" i="50"/>
  <c r="GT27" i="50"/>
  <c r="GU27" i="50"/>
  <c r="GV27" i="50"/>
  <c r="GW27" i="50"/>
  <c r="GX27" i="50"/>
  <c r="GY27" i="50"/>
  <c r="GZ27" i="50"/>
  <c r="HA27" i="50"/>
  <c r="HB27" i="50"/>
  <c r="HC27" i="50"/>
  <c r="HD27" i="50"/>
  <c r="HE27" i="50"/>
  <c r="HF27" i="50"/>
  <c r="HG27" i="50"/>
  <c r="HH27" i="50"/>
  <c r="HI27" i="50"/>
  <c r="HJ27" i="50"/>
  <c r="HK27" i="50"/>
  <c r="HL27" i="50"/>
  <c r="HM27" i="50"/>
  <c r="HN27" i="50"/>
  <c r="HO27" i="50"/>
  <c r="HP27" i="50"/>
  <c r="HQ27" i="50"/>
  <c r="HR27" i="50"/>
  <c r="HS27" i="50"/>
  <c r="HT27" i="50"/>
  <c r="HU27" i="50"/>
  <c r="HV27" i="50"/>
  <c r="HW27" i="50"/>
  <c r="HX27" i="50"/>
  <c r="HY27" i="50"/>
  <c r="HZ27" i="50"/>
  <c r="IA27" i="50"/>
  <c r="IB27" i="50"/>
  <c r="IC27" i="50"/>
  <c r="ID27" i="50"/>
  <c r="IE27" i="50"/>
  <c r="IF27" i="50"/>
  <c r="IG27" i="50"/>
  <c r="IH27" i="50"/>
  <c r="II27" i="50"/>
  <c r="IJ27" i="50"/>
  <c r="IK27" i="50"/>
  <c r="IL27" i="50"/>
  <c r="IM27" i="50"/>
  <c r="IN27" i="50"/>
  <c r="IO27" i="50"/>
  <c r="IP27" i="50"/>
  <c r="IQ27" i="50"/>
  <c r="IR27" i="50"/>
  <c r="IS27" i="50"/>
  <c r="IT27" i="50"/>
  <c r="IU27" i="50"/>
  <c r="IV27" i="50"/>
  <c r="F28" i="50"/>
  <c r="G28" i="50"/>
  <c r="H28" i="50"/>
  <c r="I28" i="50"/>
  <c r="J28" i="50"/>
  <c r="K28" i="50"/>
  <c r="L28" i="50"/>
  <c r="M28" i="50"/>
  <c r="N28" i="50"/>
  <c r="O28" i="50"/>
  <c r="P28" i="50"/>
  <c r="Q28" i="50"/>
  <c r="R28" i="50"/>
  <c r="S28" i="50"/>
  <c r="T28" i="50"/>
  <c r="U28" i="50"/>
  <c r="V28" i="50"/>
  <c r="W28" i="50"/>
  <c r="X28" i="50"/>
  <c r="Y28" i="50"/>
  <c r="Z28" i="50"/>
  <c r="AA28" i="50"/>
  <c r="AB28" i="50"/>
  <c r="AC28" i="50"/>
  <c r="AD28" i="50"/>
  <c r="AE28" i="50"/>
  <c r="AF28" i="50"/>
  <c r="AG28" i="50"/>
  <c r="AH28" i="50"/>
  <c r="AI28" i="50"/>
  <c r="AJ28" i="50"/>
  <c r="AK28" i="50"/>
  <c r="AL28" i="50"/>
  <c r="AM28" i="50"/>
  <c r="AN28" i="50"/>
  <c r="AO28" i="50"/>
  <c r="AP28" i="50"/>
  <c r="AQ28" i="50"/>
  <c r="AR28" i="50"/>
  <c r="AS28" i="50"/>
  <c r="AT28" i="50"/>
  <c r="AU28" i="50"/>
  <c r="AV28" i="50"/>
  <c r="AW28" i="50"/>
  <c r="AX28" i="50"/>
  <c r="AY28" i="50"/>
  <c r="AZ28" i="50"/>
  <c r="BA28" i="50"/>
  <c r="BB28" i="50"/>
  <c r="BC28" i="50"/>
  <c r="BD28" i="50"/>
  <c r="BE28" i="50"/>
  <c r="BF28" i="50"/>
  <c r="BG28" i="50"/>
  <c r="BH28" i="50"/>
  <c r="BI28" i="50"/>
  <c r="BJ28" i="50"/>
  <c r="BK28" i="50"/>
  <c r="BL28" i="50"/>
  <c r="BM28" i="50"/>
  <c r="BN28" i="50"/>
  <c r="BO28" i="50"/>
  <c r="BP28" i="50"/>
  <c r="BQ28" i="50"/>
  <c r="BR28" i="50"/>
  <c r="BS28" i="50"/>
  <c r="BT28" i="50"/>
  <c r="BU28" i="50"/>
  <c r="BV28" i="50"/>
  <c r="BW28" i="50"/>
  <c r="BX28" i="50"/>
  <c r="BY28" i="50"/>
  <c r="BZ28" i="50"/>
  <c r="CA28" i="50"/>
  <c r="CB28" i="50"/>
  <c r="CC28" i="50"/>
  <c r="CD28" i="50"/>
  <c r="CE28" i="50"/>
  <c r="CF28" i="50"/>
  <c r="CG28" i="50"/>
  <c r="CH28" i="50"/>
  <c r="CI28" i="50"/>
  <c r="CJ28" i="50"/>
  <c r="CK28" i="50"/>
  <c r="CL28" i="50"/>
  <c r="CM28" i="50"/>
  <c r="CN28" i="50"/>
  <c r="CO28" i="50"/>
  <c r="CP28" i="50"/>
  <c r="CQ28" i="50"/>
  <c r="CR28" i="50"/>
  <c r="CS28" i="50"/>
  <c r="CT28" i="50"/>
  <c r="CU28" i="50"/>
  <c r="CV28" i="50"/>
  <c r="CW28" i="50"/>
  <c r="CX28" i="50"/>
  <c r="CY28" i="50"/>
  <c r="CZ28" i="50"/>
  <c r="DA28" i="50"/>
  <c r="DB28" i="50"/>
  <c r="DC28" i="50"/>
  <c r="DD28" i="50"/>
  <c r="DE28" i="50"/>
  <c r="DF28" i="50"/>
  <c r="DG28" i="50"/>
  <c r="DH28" i="50"/>
  <c r="DI28" i="50"/>
  <c r="DJ28" i="50"/>
  <c r="DK28" i="50"/>
  <c r="DL28" i="50"/>
  <c r="DM28" i="50"/>
  <c r="DN28" i="50"/>
  <c r="DO28" i="50"/>
  <c r="DP28" i="50"/>
  <c r="DQ28" i="50"/>
  <c r="DR28" i="50"/>
  <c r="DS28" i="50"/>
  <c r="DT28" i="50"/>
  <c r="DU28" i="50"/>
  <c r="DV28" i="50"/>
  <c r="DW28" i="50"/>
  <c r="DX28" i="50"/>
  <c r="DY28" i="50"/>
  <c r="DZ28" i="50"/>
  <c r="EA28" i="50"/>
  <c r="EB28" i="50"/>
  <c r="EC28" i="50"/>
  <c r="ED28" i="50"/>
  <c r="EE28" i="50"/>
  <c r="EF28" i="50"/>
  <c r="EG28" i="50"/>
  <c r="EH28" i="50"/>
  <c r="EI28" i="50"/>
  <c r="EJ28" i="50"/>
  <c r="EK28" i="50"/>
  <c r="EL28" i="50"/>
  <c r="EM28" i="50"/>
  <c r="EN28" i="50"/>
  <c r="EO28" i="50"/>
  <c r="EP28" i="50"/>
  <c r="EQ28" i="50"/>
  <c r="ER28" i="50"/>
  <c r="ES28" i="50"/>
  <c r="ET28" i="50"/>
  <c r="EU28" i="50"/>
  <c r="EV28" i="50"/>
  <c r="EW28" i="50"/>
  <c r="EX28" i="50"/>
  <c r="EY28" i="50"/>
  <c r="EZ28" i="50"/>
  <c r="FA28" i="50"/>
  <c r="FB28" i="50"/>
  <c r="FC28" i="50"/>
  <c r="FD28" i="50"/>
  <c r="FE28" i="50"/>
  <c r="FF28" i="50"/>
  <c r="FG28" i="50"/>
  <c r="FH28" i="50"/>
  <c r="FI28" i="50"/>
  <c r="FJ28" i="50"/>
  <c r="FK28" i="50"/>
  <c r="FL28" i="50"/>
  <c r="FM28" i="50"/>
  <c r="FN28" i="50"/>
  <c r="FO28" i="50"/>
  <c r="FP28" i="50"/>
  <c r="FQ28" i="50"/>
  <c r="FR28" i="50"/>
  <c r="FS28" i="50"/>
  <c r="FT28" i="50"/>
  <c r="FU28" i="50"/>
  <c r="FV28" i="50"/>
  <c r="FW28" i="50"/>
  <c r="FX28" i="50"/>
  <c r="FY28" i="50"/>
  <c r="FZ28" i="50"/>
  <c r="GA28" i="50"/>
  <c r="GB28" i="50"/>
  <c r="GC28" i="50"/>
  <c r="GD28" i="50"/>
  <c r="GE28" i="50"/>
  <c r="GF28" i="50"/>
  <c r="GG28" i="50"/>
  <c r="GH28" i="50"/>
  <c r="GI28" i="50"/>
  <c r="GJ28" i="50"/>
  <c r="GK28" i="50"/>
  <c r="GL28" i="50"/>
  <c r="GM28" i="50"/>
  <c r="GN28" i="50"/>
  <c r="GO28" i="50"/>
  <c r="GP28" i="50"/>
  <c r="GQ28" i="50"/>
  <c r="GR28" i="50"/>
  <c r="GS28" i="50"/>
  <c r="GT28" i="50"/>
  <c r="GU28" i="50"/>
  <c r="GV28" i="50"/>
  <c r="GW28" i="50"/>
  <c r="GX28" i="50"/>
  <c r="GY28" i="50"/>
  <c r="GZ28" i="50"/>
  <c r="HA28" i="50"/>
  <c r="HB28" i="50"/>
  <c r="HC28" i="50"/>
  <c r="HD28" i="50"/>
  <c r="HE28" i="50"/>
  <c r="HF28" i="50"/>
  <c r="HG28" i="50"/>
  <c r="HH28" i="50"/>
  <c r="HI28" i="50"/>
  <c r="HJ28" i="50"/>
  <c r="HK28" i="50"/>
  <c r="HL28" i="50"/>
  <c r="HM28" i="50"/>
  <c r="HN28" i="50"/>
  <c r="HO28" i="50"/>
  <c r="HP28" i="50"/>
  <c r="HQ28" i="50"/>
  <c r="HR28" i="50"/>
  <c r="HS28" i="50"/>
  <c r="HT28" i="50"/>
  <c r="HU28" i="50"/>
  <c r="HV28" i="50"/>
  <c r="HW28" i="50"/>
  <c r="HX28" i="50"/>
  <c r="HY28" i="50"/>
  <c r="HZ28" i="50"/>
  <c r="IA28" i="50"/>
  <c r="IB28" i="50"/>
  <c r="IC28" i="50"/>
  <c r="ID28" i="50"/>
  <c r="IE28" i="50"/>
  <c r="IF28" i="50"/>
  <c r="IG28" i="50"/>
  <c r="IH28" i="50"/>
  <c r="II28" i="50"/>
  <c r="IJ28" i="50"/>
  <c r="IK28" i="50"/>
  <c r="IL28" i="50"/>
  <c r="IM28" i="50"/>
  <c r="IN28" i="50"/>
  <c r="IO28" i="50"/>
  <c r="IP28" i="50"/>
  <c r="IQ28" i="50"/>
  <c r="IR28" i="50"/>
  <c r="IS28" i="50"/>
  <c r="IT28" i="50"/>
  <c r="IU28" i="50"/>
  <c r="IV28" i="50"/>
  <c r="F29" i="50"/>
  <c r="G29" i="50"/>
  <c r="H29" i="50"/>
  <c r="I29" i="50"/>
  <c r="J29" i="50"/>
  <c r="K29" i="50"/>
  <c r="L29" i="50"/>
  <c r="M29" i="50"/>
  <c r="N29" i="50"/>
  <c r="O29" i="50"/>
  <c r="P29" i="50"/>
  <c r="Q29" i="50"/>
  <c r="R29" i="50"/>
  <c r="S29" i="50"/>
  <c r="T29" i="50"/>
  <c r="U29" i="50"/>
  <c r="V29" i="50"/>
  <c r="W29" i="50"/>
  <c r="X29" i="50"/>
  <c r="Y29" i="50"/>
  <c r="Z29" i="50"/>
  <c r="AA29" i="50"/>
  <c r="AB29" i="50"/>
  <c r="AC29" i="50"/>
  <c r="AD29" i="50"/>
  <c r="AE29" i="50"/>
  <c r="AF29" i="50"/>
  <c r="AG29" i="50"/>
  <c r="AH29" i="50"/>
  <c r="AI29" i="50"/>
  <c r="AJ29" i="50"/>
  <c r="AK29" i="50"/>
  <c r="AL29" i="50"/>
  <c r="AM29" i="50"/>
  <c r="AN29" i="50"/>
  <c r="AO29" i="50"/>
  <c r="AP29" i="50"/>
  <c r="AQ29" i="50"/>
  <c r="AR29" i="50"/>
  <c r="AS29" i="50"/>
  <c r="AT29" i="50"/>
  <c r="AU29" i="50"/>
  <c r="AV29" i="50"/>
  <c r="AW29" i="50"/>
  <c r="AX29" i="50"/>
  <c r="AY29" i="50"/>
  <c r="AZ29" i="50"/>
  <c r="BA29" i="50"/>
  <c r="BB29" i="50"/>
  <c r="BC29" i="50"/>
  <c r="BD29" i="50"/>
  <c r="BE29" i="50"/>
  <c r="BF29" i="50"/>
  <c r="BG29" i="50"/>
  <c r="BH29" i="50"/>
  <c r="BI29" i="50"/>
  <c r="BJ29" i="50"/>
  <c r="BK29" i="50"/>
  <c r="BL29" i="50"/>
  <c r="BM29" i="50"/>
  <c r="BN29" i="50"/>
  <c r="BO29" i="50"/>
  <c r="BP29" i="50"/>
  <c r="BQ29" i="50"/>
  <c r="BR29" i="50"/>
  <c r="BS29" i="50"/>
  <c r="BT29" i="50"/>
  <c r="BU29" i="50"/>
  <c r="BV29" i="50"/>
  <c r="BW29" i="50"/>
  <c r="BX29" i="50"/>
  <c r="BY29" i="50"/>
  <c r="BZ29" i="50"/>
  <c r="CA29" i="50"/>
  <c r="CB29" i="50"/>
  <c r="CC29" i="50"/>
  <c r="CD29" i="50"/>
  <c r="CE29" i="50"/>
  <c r="CF29" i="50"/>
  <c r="CG29" i="50"/>
  <c r="CH29" i="50"/>
  <c r="CI29" i="50"/>
  <c r="CJ29" i="50"/>
  <c r="CK29" i="50"/>
  <c r="CL29" i="50"/>
  <c r="CM29" i="50"/>
  <c r="CN29" i="50"/>
  <c r="CO29" i="50"/>
  <c r="CP29" i="50"/>
  <c r="CQ29" i="50"/>
  <c r="CR29" i="50"/>
  <c r="CS29" i="50"/>
  <c r="CT29" i="50"/>
  <c r="CU29" i="50"/>
  <c r="CV29" i="50"/>
  <c r="CW29" i="50"/>
  <c r="CX29" i="50"/>
  <c r="CY29" i="50"/>
  <c r="CZ29" i="50"/>
  <c r="DA29" i="50"/>
  <c r="DB29" i="50"/>
  <c r="DC29" i="50"/>
  <c r="DD29" i="50"/>
  <c r="DE29" i="50"/>
  <c r="DF29" i="50"/>
  <c r="DG29" i="50"/>
  <c r="DH29" i="50"/>
  <c r="DI29" i="50"/>
  <c r="DJ29" i="50"/>
  <c r="DK29" i="50"/>
  <c r="DL29" i="50"/>
  <c r="DM29" i="50"/>
  <c r="DN29" i="50"/>
  <c r="DO29" i="50"/>
  <c r="DP29" i="50"/>
  <c r="DQ29" i="50"/>
  <c r="DR29" i="50"/>
  <c r="DS29" i="50"/>
  <c r="DT29" i="50"/>
  <c r="DU29" i="50"/>
  <c r="DV29" i="50"/>
  <c r="DW29" i="50"/>
  <c r="DX29" i="50"/>
  <c r="DY29" i="50"/>
  <c r="DZ29" i="50"/>
  <c r="EA29" i="50"/>
  <c r="EB29" i="50"/>
  <c r="EC29" i="50"/>
  <c r="ED29" i="50"/>
  <c r="EE29" i="50"/>
  <c r="EF29" i="50"/>
  <c r="EG29" i="50"/>
  <c r="EH29" i="50"/>
  <c r="EI29" i="50"/>
  <c r="EJ29" i="50"/>
  <c r="EK29" i="50"/>
  <c r="EL29" i="50"/>
  <c r="EM29" i="50"/>
  <c r="EN29" i="50"/>
  <c r="EO29" i="50"/>
  <c r="EP29" i="50"/>
  <c r="EQ29" i="50"/>
  <c r="ER29" i="50"/>
  <c r="ES29" i="50"/>
  <c r="ET29" i="50"/>
  <c r="EU29" i="50"/>
  <c r="EV29" i="50"/>
  <c r="EW29" i="50"/>
  <c r="EX29" i="50"/>
  <c r="EY29" i="50"/>
  <c r="EZ29" i="50"/>
  <c r="FA29" i="50"/>
  <c r="FB29" i="50"/>
  <c r="FC29" i="50"/>
  <c r="FD29" i="50"/>
  <c r="FE29" i="50"/>
  <c r="FF29" i="50"/>
  <c r="FG29" i="50"/>
  <c r="FH29" i="50"/>
  <c r="FI29" i="50"/>
  <c r="FJ29" i="50"/>
  <c r="FK29" i="50"/>
  <c r="FL29" i="50"/>
  <c r="FM29" i="50"/>
  <c r="FN29" i="50"/>
  <c r="FO29" i="50"/>
  <c r="FP29" i="50"/>
  <c r="FQ29" i="50"/>
  <c r="FR29" i="50"/>
  <c r="FS29" i="50"/>
  <c r="FT29" i="50"/>
  <c r="FU29" i="50"/>
  <c r="FV29" i="50"/>
  <c r="FW29" i="50"/>
  <c r="FX29" i="50"/>
  <c r="FY29" i="50"/>
  <c r="FZ29" i="50"/>
  <c r="GA29" i="50"/>
  <c r="GB29" i="50"/>
  <c r="GC29" i="50"/>
  <c r="GD29" i="50"/>
  <c r="GE29" i="50"/>
  <c r="GF29" i="50"/>
  <c r="GG29" i="50"/>
  <c r="GH29" i="50"/>
  <c r="GI29" i="50"/>
  <c r="GJ29" i="50"/>
  <c r="GK29" i="50"/>
  <c r="GL29" i="50"/>
  <c r="GM29" i="50"/>
  <c r="GN29" i="50"/>
  <c r="GO29" i="50"/>
  <c r="GP29" i="50"/>
  <c r="GQ29" i="50"/>
  <c r="GR29" i="50"/>
  <c r="GS29" i="50"/>
  <c r="GT29" i="50"/>
  <c r="GU29" i="50"/>
  <c r="GV29" i="50"/>
  <c r="GW29" i="50"/>
  <c r="GX29" i="50"/>
  <c r="GY29" i="50"/>
  <c r="GZ29" i="50"/>
  <c r="HA29" i="50"/>
  <c r="HB29" i="50"/>
  <c r="HC29" i="50"/>
  <c r="HD29" i="50"/>
  <c r="HE29" i="50"/>
  <c r="HF29" i="50"/>
  <c r="HG29" i="50"/>
  <c r="HH29" i="50"/>
  <c r="HI29" i="50"/>
  <c r="HJ29" i="50"/>
  <c r="HK29" i="50"/>
  <c r="HL29" i="50"/>
  <c r="HM29" i="50"/>
  <c r="HN29" i="50"/>
  <c r="HO29" i="50"/>
  <c r="HP29" i="50"/>
  <c r="HQ29" i="50"/>
  <c r="HR29" i="50"/>
  <c r="HS29" i="50"/>
  <c r="HT29" i="50"/>
  <c r="HU29" i="50"/>
  <c r="HV29" i="50"/>
  <c r="HW29" i="50"/>
  <c r="HX29" i="50"/>
  <c r="HY29" i="50"/>
  <c r="HZ29" i="50"/>
  <c r="IA29" i="50"/>
  <c r="IB29" i="50"/>
  <c r="IC29" i="50"/>
  <c r="ID29" i="50"/>
  <c r="IE29" i="50"/>
  <c r="IF29" i="50"/>
  <c r="IG29" i="50"/>
  <c r="IH29" i="50"/>
  <c r="II29" i="50"/>
  <c r="IJ29" i="50"/>
  <c r="IK29" i="50"/>
  <c r="IL29" i="50"/>
  <c r="IM29" i="50"/>
  <c r="IN29" i="50"/>
  <c r="IO29" i="50"/>
  <c r="IP29" i="50"/>
  <c r="IQ29" i="50"/>
  <c r="IR29" i="50"/>
  <c r="IS29" i="50"/>
  <c r="IT29" i="50"/>
  <c r="IU29" i="50"/>
  <c r="IV29" i="50"/>
  <c r="F30" i="50"/>
  <c r="G30" i="50"/>
  <c r="H30" i="50"/>
  <c r="I30" i="50"/>
  <c r="J30" i="50"/>
  <c r="K30" i="50"/>
  <c r="L30" i="50"/>
  <c r="M30" i="50"/>
  <c r="N30" i="50"/>
  <c r="O30" i="50"/>
  <c r="P30" i="50"/>
  <c r="Q30" i="50"/>
  <c r="R30" i="50"/>
  <c r="S30" i="50"/>
  <c r="T30" i="50"/>
  <c r="U30" i="50"/>
  <c r="V30" i="50"/>
  <c r="W30" i="50"/>
  <c r="X30" i="50"/>
  <c r="Y30" i="50"/>
  <c r="Z30" i="50"/>
  <c r="AA30" i="50"/>
  <c r="AB30" i="50"/>
  <c r="AC30" i="50"/>
  <c r="AD30" i="50"/>
  <c r="AE30" i="50"/>
  <c r="AF30" i="50"/>
  <c r="AG30" i="50"/>
  <c r="AH30" i="50"/>
  <c r="AI30" i="50"/>
  <c r="AJ30" i="50"/>
  <c r="AK30" i="50"/>
  <c r="AL30" i="50"/>
  <c r="AM30" i="50"/>
  <c r="AN30" i="50"/>
  <c r="AO30" i="50"/>
  <c r="AP30" i="50"/>
  <c r="AQ30" i="50"/>
  <c r="AR30" i="50"/>
  <c r="AS30" i="50"/>
  <c r="AT30" i="50"/>
  <c r="AU30" i="50"/>
  <c r="AV30" i="50"/>
  <c r="AW30" i="50"/>
  <c r="AX30" i="50"/>
  <c r="AY30" i="50"/>
  <c r="AZ30" i="50"/>
  <c r="BA30" i="50"/>
  <c r="BB30" i="50"/>
  <c r="BC30" i="50"/>
  <c r="BD30" i="50"/>
  <c r="BE30" i="50"/>
  <c r="BF30" i="50"/>
  <c r="BG30" i="50"/>
  <c r="BH30" i="50"/>
  <c r="BI30" i="50"/>
  <c r="BJ30" i="50"/>
  <c r="BK30" i="50"/>
  <c r="BL30" i="50"/>
  <c r="BM30" i="50"/>
  <c r="BN30" i="50"/>
  <c r="BO30" i="50"/>
  <c r="BP30" i="50"/>
  <c r="BQ30" i="50"/>
  <c r="BR30" i="50"/>
  <c r="BS30" i="50"/>
  <c r="BT30" i="50"/>
  <c r="BU30" i="50"/>
  <c r="BV30" i="50"/>
  <c r="BW30" i="50"/>
  <c r="BX30" i="50"/>
  <c r="BY30" i="50"/>
  <c r="BZ30" i="50"/>
  <c r="CA30" i="50"/>
  <c r="CB30" i="50"/>
  <c r="CC30" i="50"/>
  <c r="CD30" i="50"/>
  <c r="CE30" i="50"/>
  <c r="CF30" i="50"/>
  <c r="CG30" i="50"/>
  <c r="CH30" i="50"/>
  <c r="CI30" i="50"/>
  <c r="CJ30" i="50"/>
  <c r="CK30" i="50"/>
  <c r="CL30" i="50"/>
  <c r="CM30" i="50"/>
  <c r="CN30" i="50"/>
  <c r="CO30" i="50"/>
  <c r="CP30" i="50"/>
  <c r="CQ30" i="50"/>
  <c r="CR30" i="50"/>
  <c r="CS30" i="50"/>
  <c r="CT30" i="50"/>
  <c r="CU30" i="50"/>
  <c r="CV30" i="50"/>
  <c r="CW30" i="50"/>
  <c r="CX30" i="50"/>
  <c r="CY30" i="50"/>
  <c r="CZ30" i="50"/>
  <c r="DA30" i="50"/>
  <c r="DB30" i="50"/>
  <c r="DC30" i="50"/>
  <c r="DD30" i="50"/>
  <c r="DE30" i="50"/>
  <c r="DF30" i="50"/>
  <c r="DG30" i="50"/>
  <c r="DH30" i="50"/>
  <c r="DI30" i="50"/>
  <c r="DJ30" i="50"/>
  <c r="DK30" i="50"/>
  <c r="DL30" i="50"/>
  <c r="DM30" i="50"/>
  <c r="DN30" i="50"/>
  <c r="DO30" i="50"/>
  <c r="DP30" i="50"/>
  <c r="DQ30" i="50"/>
  <c r="DR30" i="50"/>
  <c r="DS30" i="50"/>
  <c r="DT30" i="50"/>
  <c r="DU30" i="50"/>
  <c r="DV30" i="50"/>
  <c r="DW30" i="50"/>
  <c r="DX30" i="50"/>
  <c r="DY30" i="50"/>
  <c r="DZ30" i="50"/>
  <c r="EA30" i="50"/>
  <c r="EB30" i="50"/>
  <c r="EC30" i="50"/>
  <c r="ED30" i="50"/>
  <c r="EE30" i="50"/>
  <c r="EF30" i="50"/>
  <c r="EG30" i="50"/>
  <c r="EH30" i="50"/>
  <c r="EI30" i="50"/>
  <c r="EJ30" i="50"/>
  <c r="EK30" i="50"/>
  <c r="EL30" i="50"/>
  <c r="EM30" i="50"/>
  <c r="EN30" i="50"/>
  <c r="EO30" i="50"/>
  <c r="EP30" i="50"/>
  <c r="EQ30" i="50"/>
  <c r="ER30" i="50"/>
  <c r="ES30" i="50"/>
  <c r="ET30" i="50"/>
  <c r="EU30" i="50"/>
  <c r="EV30" i="50"/>
  <c r="EW30" i="50"/>
  <c r="EX30" i="50"/>
  <c r="EY30" i="50"/>
  <c r="EZ30" i="50"/>
  <c r="FA30" i="50"/>
  <c r="FB30" i="50"/>
  <c r="FC30" i="50"/>
  <c r="FD30" i="50"/>
  <c r="FE30" i="50"/>
  <c r="FF30" i="50"/>
  <c r="FG30" i="50"/>
  <c r="FH30" i="50"/>
  <c r="FI30" i="50"/>
  <c r="FJ30" i="50"/>
  <c r="FK30" i="50"/>
  <c r="FL30" i="50"/>
  <c r="FM30" i="50"/>
  <c r="FN30" i="50"/>
  <c r="FO30" i="50"/>
  <c r="FP30" i="50"/>
  <c r="FQ30" i="50"/>
  <c r="FR30" i="50"/>
  <c r="FS30" i="50"/>
  <c r="FT30" i="50"/>
  <c r="FU30" i="50"/>
  <c r="FV30" i="50"/>
  <c r="FW30" i="50"/>
  <c r="FX30" i="50"/>
  <c r="FY30" i="50"/>
  <c r="FZ30" i="50"/>
  <c r="GA30" i="50"/>
  <c r="GB30" i="50"/>
  <c r="GC30" i="50"/>
  <c r="GD30" i="50"/>
  <c r="GE30" i="50"/>
  <c r="GF30" i="50"/>
  <c r="GG30" i="50"/>
  <c r="GH30" i="50"/>
  <c r="GI30" i="50"/>
  <c r="GJ30" i="50"/>
  <c r="GK30" i="50"/>
  <c r="GL30" i="50"/>
  <c r="GM30" i="50"/>
  <c r="GN30" i="50"/>
  <c r="GO30" i="50"/>
  <c r="GP30" i="50"/>
  <c r="GQ30" i="50"/>
  <c r="GR30" i="50"/>
  <c r="GS30" i="50"/>
  <c r="GT30" i="50"/>
  <c r="GU30" i="50"/>
  <c r="GV30" i="50"/>
  <c r="GW30" i="50"/>
  <c r="GX30" i="50"/>
  <c r="GY30" i="50"/>
  <c r="GZ30" i="50"/>
  <c r="HA30" i="50"/>
  <c r="HB30" i="50"/>
  <c r="HC30" i="50"/>
  <c r="HD30" i="50"/>
  <c r="HE30" i="50"/>
  <c r="HF30" i="50"/>
  <c r="HG30" i="50"/>
  <c r="HH30" i="50"/>
  <c r="HI30" i="50"/>
  <c r="HJ30" i="50"/>
  <c r="HK30" i="50"/>
  <c r="HL30" i="50"/>
  <c r="HM30" i="50"/>
  <c r="HN30" i="50"/>
  <c r="HO30" i="50"/>
  <c r="HP30" i="50"/>
  <c r="HQ30" i="50"/>
  <c r="HR30" i="50"/>
  <c r="HS30" i="50"/>
  <c r="HT30" i="50"/>
  <c r="HU30" i="50"/>
  <c r="HV30" i="50"/>
  <c r="HW30" i="50"/>
  <c r="HX30" i="50"/>
  <c r="HY30" i="50"/>
  <c r="HZ30" i="50"/>
  <c r="IA30" i="50"/>
  <c r="IB30" i="50"/>
  <c r="IC30" i="50"/>
  <c r="ID30" i="50"/>
  <c r="IE30" i="50"/>
  <c r="IF30" i="50"/>
  <c r="IG30" i="50"/>
  <c r="IH30" i="50"/>
  <c r="II30" i="50"/>
  <c r="IJ30" i="50"/>
  <c r="IK30" i="50"/>
  <c r="IL30" i="50"/>
  <c r="IM30" i="50"/>
  <c r="IN30" i="50"/>
  <c r="IO30" i="50"/>
  <c r="IP30" i="50"/>
  <c r="IQ30" i="50"/>
  <c r="IR30" i="50"/>
  <c r="IS30" i="50"/>
  <c r="IT30" i="50"/>
  <c r="IU30" i="50"/>
  <c r="F1" i="50"/>
  <c r="G1" i="50"/>
  <c r="H1" i="50"/>
  <c r="I1" i="50"/>
  <c r="J1" i="50"/>
  <c r="K1" i="50"/>
  <c r="L1" i="50"/>
  <c r="M1" i="50"/>
  <c r="N1" i="50"/>
  <c r="O1" i="50"/>
  <c r="P1" i="50"/>
  <c r="Q1" i="50"/>
  <c r="R1" i="50"/>
  <c r="S1" i="50"/>
  <c r="T1" i="50"/>
  <c r="U1" i="50"/>
  <c r="V1" i="50"/>
  <c r="W1" i="50"/>
  <c r="X1" i="50"/>
  <c r="Y1" i="50"/>
  <c r="Z1" i="50"/>
  <c r="AA1" i="50"/>
  <c r="AB1" i="50"/>
  <c r="AC1" i="50"/>
  <c r="AD1" i="50"/>
  <c r="AE1" i="50"/>
  <c r="AF1" i="50"/>
  <c r="AG1" i="50"/>
  <c r="AH1" i="50"/>
  <c r="AI1" i="50"/>
  <c r="AJ1" i="50"/>
  <c r="AK1" i="50"/>
  <c r="AL1" i="50"/>
  <c r="AM1" i="50"/>
  <c r="AN1" i="50"/>
  <c r="AO1" i="50"/>
  <c r="AP1" i="50"/>
  <c r="AQ1" i="50"/>
  <c r="AR1" i="50"/>
  <c r="AS1" i="50"/>
  <c r="AT1" i="50"/>
  <c r="AU1" i="50"/>
  <c r="AV1" i="50"/>
  <c r="AW1" i="50"/>
  <c r="AX1" i="50"/>
  <c r="AY1" i="50"/>
  <c r="AZ1" i="50"/>
  <c r="BA1" i="50"/>
  <c r="BB1" i="50"/>
  <c r="BC1" i="50"/>
  <c r="BD1" i="50"/>
  <c r="BE1" i="50"/>
  <c r="BF1" i="50"/>
  <c r="BG1" i="50"/>
  <c r="BH1" i="50"/>
  <c r="BI1" i="50"/>
  <c r="BJ1" i="50"/>
  <c r="BK1" i="50"/>
  <c r="BL1" i="50"/>
  <c r="BM1" i="50"/>
  <c r="BN1" i="50"/>
  <c r="BO1" i="50"/>
  <c r="BP1" i="50"/>
  <c r="BQ1" i="50"/>
  <c r="BR1" i="50"/>
  <c r="BS1" i="50"/>
  <c r="BT1" i="50"/>
  <c r="BU1" i="50"/>
  <c r="BV1" i="50"/>
  <c r="BW1" i="50"/>
  <c r="BX1" i="50"/>
  <c r="BY1" i="50"/>
  <c r="BZ1" i="50"/>
  <c r="CA1" i="50"/>
  <c r="CB1" i="50"/>
  <c r="CC1" i="50"/>
  <c r="CD1" i="50"/>
  <c r="CE1" i="50"/>
  <c r="CF1" i="50"/>
  <c r="CG1" i="50"/>
  <c r="CH1" i="50"/>
  <c r="CI1" i="50"/>
  <c r="CJ1" i="50"/>
  <c r="CK1" i="50"/>
  <c r="CL1" i="50"/>
  <c r="CM1" i="50"/>
  <c r="CN1" i="50"/>
  <c r="CO1" i="50"/>
  <c r="CP1" i="50"/>
  <c r="CQ1" i="50"/>
  <c r="CR1" i="50"/>
  <c r="CS1" i="50"/>
  <c r="CT1" i="50"/>
  <c r="CU1" i="50"/>
  <c r="CV1" i="50"/>
  <c r="CW1" i="50"/>
  <c r="CX1" i="50"/>
  <c r="CY1" i="50"/>
  <c r="CZ1" i="50"/>
  <c r="DA1" i="50"/>
  <c r="DB1" i="50"/>
  <c r="DC1" i="50"/>
  <c r="DD1" i="50"/>
  <c r="DE1" i="50"/>
  <c r="DF1" i="50"/>
  <c r="DG1" i="50"/>
  <c r="DH1" i="50"/>
  <c r="DI1" i="50"/>
  <c r="DJ1" i="50"/>
  <c r="DK1" i="50"/>
  <c r="DL1" i="50"/>
  <c r="DM1" i="50"/>
  <c r="DN1" i="50"/>
  <c r="DO1" i="50"/>
  <c r="DP1" i="50"/>
  <c r="DQ1" i="50"/>
  <c r="DR1" i="50"/>
  <c r="DS1" i="50"/>
  <c r="DT1" i="50"/>
  <c r="DU1" i="50"/>
  <c r="DV1" i="50"/>
  <c r="DW1" i="50"/>
  <c r="DX1" i="50"/>
  <c r="DY1" i="50"/>
  <c r="DZ1" i="50"/>
  <c r="EA1" i="50"/>
  <c r="EB1" i="50"/>
  <c r="EC1" i="50"/>
  <c r="ED1" i="50"/>
  <c r="EE1" i="50"/>
  <c r="EF1" i="50"/>
  <c r="EG1" i="50"/>
  <c r="EH1" i="50"/>
  <c r="EI1" i="50"/>
  <c r="EJ1" i="50"/>
  <c r="EK1" i="50"/>
  <c r="EL1" i="50"/>
  <c r="EM1" i="50"/>
  <c r="EN1" i="50"/>
  <c r="EO1" i="50"/>
  <c r="EP1" i="50"/>
  <c r="EQ1" i="50"/>
  <c r="ER1" i="50"/>
  <c r="ES1" i="50"/>
  <c r="ET1" i="50"/>
  <c r="EU1" i="50"/>
  <c r="EV1" i="50"/>
  <c r="EW1" i="50"/>
  <c r="EX1" i="50"/>
  <c r="EY1" i="50"/>
  <c r="EZ1" i="50"/>
  <c r="FA1" i="50"/>
  <c r="FB1" i="50"/>
  <c r="FC1" i="50"/>
  <c r="FD1" i="50"/>
  <c r="FE1" i="50"/>
  <c r="FF1" i="50"/>
  <c r="FG1" i="50"/>
  <c r="FH1" i="50"/>
  <c r="FI1" i="50"/>
  <c r="FJ1" i="50"/>
  <c r="FK1" i="50"/>
  <c r="FL1" i="50"/>
  <c r="FM1" i="50"/>
  <c r="FN1" i="50"/>
  <c r="FO1" i="50"/>
  <c r="FP1" i="50"/>
  <c r="FQ1" i="50"/>
  <c r="FR1" i="50"/>
  <c r="FS1" i="50"/>
  <c r="FT1" i="50"/>
  <c r="FU1" i="50"/>
  <c r="FV1" i="50"/>
  <c r="FW1" i="50"/>
  <c r="FX1" i="50"/>
  <c r="FY1" i="50"/>
  <c r="FZ1" i="50"/>
  <c r="GA1" i="50"/>
  <c r="GB1" i="50"/>
  <c r="GC1" i="50"/>
  <c r="GD1" i="50"/>
  <c r="GE1" i="50"/>
  <c r="GF1" i="50"/>
  <c r="GG1" i="50"/>
  <c r="GH1" i="50"/>
  <c r="GI1" i="50"/>
  <c r="GJ1" i="50"/>
  <c r="GK1" i="50"/>
  <c r="GL1" i="50"/>
  <c r="GM1" i="50"/>
  <c r="GN1" i="50"/>
  <c r="GO1" i="50"/>
  <c r="GP1" i="50"/>
  <c r="GQ1" i="50"/>
  <c r="GR1" i="50"/>
  <c r="GS1" i="50"/>
  <c r="GT1" i="50"/>
  <c r="GU1" i="50"/>
  <c r="GV1" i="50"/>
  <c r="GW1" i="50"/>
  <c r="GX1" i="50"/>
  <c r="GY1" i="50"/>
  <c r="GZ1" i="50"/>
  <c r="HA1" i="50"/>
  <c r="HB1" i="50"/>
  <c r="HC1" i="50"/>
  <c r="HD1" i="50"/>
  <c r="HE1" i="50"/>
  <c r="HF1" i="50"/>
  <c r="HG1" i="50"/>
  <c r="HH1" i="50"/>
  <c r="HI1" i="50"/>
  <c r="HJ1" i="50"/>
  <c r="HK1" i="50"/>
  <c r="HL1" i="50"/>
  <c r="HM1" i="50"/>
  <c r="HN1" i="50"/>
  <c r="HO1" i="50"/>
  <c r="HP1" i="50"/>
  <c r="HQ1" i="50"/>
  <c r="HR1" i="50"/>
  <c r="HS1" i="50"/>
  <c r="HT1" i="50"/>
  <c r="HU1" i="50"/>
  <c r="HV1" i="50"/>
  <c r="HW1" i="50"/>
  <c r="HX1" i="50"/>
  <c r="HY1" i="50"/>
  <c r="HZ1" i="50"/>
  <c r="IA1" i="50"/>
  <c r="IB1" i="50"/>
  <c r="IC1" i="50"/>
  <c r="ID1" i="50"/>
  <c r="IE1" i="50"/>
  <c r="IF1" i="50"/>
  <c r="IG1" i="50"/>
  <c r="IH1" i="50"/>
  <c r="II1" i="50"/>
  <c r="IJ1" i="50"/>
  <c r="IK1" i="50"/>
  <c r="IL1" i="50"/>
  <c r="IM1" i="50"/>
  <c r="IN1" i="50"/>
  <c r="IO1" i="50"/>
  <c r="IP1" i="50"/>
  <c r="IQ1" i="50"/>
  <c r="IR1" i="50"/>
  <c r="IS1" i="50"/>
  <c r="IT1" i="50"/>
  <c r="IU1" i="50"/>
  <c r="IV1" i="50"/>
  <c r="K72" i="49" l="1"/>
  <c r="J9" i="44" l="1"/>
  <c r="K9" i="44" s="1"/>
  <c r="L9" i="44" s="1"/>
  <c r="M9" i="44" s="1"/>
  <c r="N9" i="44" s="1"/>
  <c r="O9" i="44" s="1"/>
  <c r="P9" i="44" s="1"/>
  <c r="Q9" i="44" s="1"/>
  <c r="R9" i="44" s="1"/>
  <c r="S9" i="44" s="1"/>
  <c r="T9" i="44" s="1"/>
  <c r="U9" i="44" s="1"/>
  <c r="V9" i="44" s="1"/>
  <c r="W9" i="44" s="1"/>
  <c r="X9" i="44" s="1"/>
  <c r="Y9" i="44" s="1"/>
  <c r="Z9" i="44" s="1"/>
  <c r="AA9" i="44" s="1"/>
  <c r="AB9" i="44" s="1"/>
  <c r="AC9" i="44" s="1"/>
  <c r="AD9" i="44" s="1"/>
  <c r="AE9" i="44" s="1"/>
  <c r="AF9" i="44" s="1"/>
  <c r="AG9" i="44" s="1"/>
  <c r="AH9" i="44" s="1"/>
  <c r="AI9" i="44" s="1"/>
  <c r="AJ9" i="44" s="1"/>
  <c r="AK9" i="44" s="1"/>
  <c r="AL9" i="44" s="1"/>
  <c r="AM9" i="44" s="1"/>
  <c r="AN9" i="44" s="1"/>
  <c r="AO9" i="44" s="1"/>
  <c r="AP9" i="44" s="1"/>
  <c r="AQ9" i="44" s="1"/>
  <c r="AR9" i="44" s="1"/>
  <c r="AS9" i="44" s="1"/>
  <c r="AT9" i="44" s="1"/>
  <c r="AU9" i="44" s="1"/>
  <c r="AV9" i="44" s="1"/>
  <c r="AW9" i="44" s="1"/>
  <c r="AX9" i="44" s="1"/>
  <c r="AY9" i="44" s="1"/>
  <c r="AZ9" i="44" s="1"/>
  <c r="BA9" i="44" s="1"/>
  <c r="BB9" i="44" s="1"/>
  <c r="BC9" i="44" s="1"/>
  <c r="BD9" i="44" s="1"/>
  <c r="BE9" i="44" s="1"/>
  <c r="BF9" i="44" s="1"/>
  <c r="BG9" i="44" s="1"/>
  <c r="BH9" i="44" s="1"/>
  <c r="BI9" i="44" s="1"/>
  <c r="BJ9" i="44" s="1"/>
  <c r="BK9" i="44" s="1"/>
  <c r="BL9" i="44" s="1"/>
  <c r="BM9" i="44" s="1"/>
  <c r="BN9" i="44" s="1"/>
  <c r="BO9" i="44" s="1"/>
  <c r="BP9" i="44" s="1"/>
  <c r="BQ9" i="44" s="1"/>
  <c r="BR9" i="44" s="1"/>
  <c r="BS9" i="44" s="1"/>
  <c r="BT9" i="44" s="1"/>
  <c r="BU9" i="44" s="1"/>
  <c r="BV9" i="44" s="1"/>
  <c r="BW9" i="44" s="1"/>
  <c r="BX9" i="44" s="1"/>
  <c r="BW10" i="44"/>
  <c r="BW14" i="44" s="1"/>
  <c r="BU10" i="44"/>
  <c r="BU14" i="44" s="1"/>
  <c r="BS10" i="44"/>
  <c r="BS14" i="44" s="1"/>
  <c r="BQ10" i="44"/>
  <c r="BQ14" i="44" s="1"/>
  <c r="BO10" i="44"/>
  <c r="BO14" i="44" s="1"/>
  <c r="BM10" i="44"/>
  <c r="BM14" i="44" s="1"/>
  <c r="BK10" i="44"/>
  <c r="BK14" i="44" s="1"/>
  <c r="BI10" i="44"/>
  <c r="BI14" i="44" s="1"/>
  <c r="BG10" i="44"/>
  <c r="BG14" i="44" s="1"/>
  <c r="BE10" i="44"/>
  <c r="BE14" i="44" s="1"/>
  <c r="BC10" i="44"/>
  <c r="BC14" i="44" s="1"/>
  <c r="BA10" i="44"/>
  <c r="BA14" i="44" s="1"/>
  <c r="AY10" i="44"/>
  <c r="AY14" i="44" s="1"/>
  <c r="AW10" i="44"/>
  <c r="AW14" i="44" s="1"/>
  <c r="AU10" i="44"/>
  <c r="AU14" i="44" s="1"/>
  <c r="AS10" i="44"/>
  <c r="AS14" i="44" s="1"/>
  <c r="AQ10" i="44"/>
  <c r="AQ14" i="44" s="1"/>
  <c r="AO10" i="44"/>
  <c r="AO14" i="44" s="1"/>
  <c r="AM10" i="44"/>
  <c r="AM14" i="44" s="1"/>
  <c r="AK10" i="44"/>
  <c r="AK14" i="44" s="1"/>
  <c r="AI10" i="44"/>
  <c r="AI14" i="44" s="1"/>
  <c r="AG10" i="44"/>
  <c r="AG14" i="44" s="1"/>
  <c r="AE10" i="44"/>
  <c r="AE14" i="44" s="1"/>
  <c r="AC10" i="44"/>
  <c r="AC14" i="44" s="1"/>
  <c r="AA10" i="44"/>
  <c r="AA14" i="44" s="1"/>
  <c r="J10" i="44"/>
  <c r="J14" i="44"/>
  <c r="F12" i="44"/>
  <c r="J15" i="44"/>
  <c r="J18" i="44" s="1"/>
  <c r="J19" i="44" s="1"/>
  <c r="F17" i="44"/>
  <c r="I18" i="44"/>
  <c r="H18" i="44"/>
  <c r="G18" i="44"/>
  <c r="F18" i="44"/>
  <c r="E18" i="44"/>
  <c r="G17" i="44"/>
  <c r="E17" i="44"/>
  <c r="J42" i="44"/>
  <c r="J43" i="44" s="1"/>
  <c r="F40" i="44"/>
  <c r="F36" i="44"/>
  <c r="F37" i="44"/>
  <c r="F38" i="44"/>
  <c r="F41" i="44" s="1"/>
  <c r="F13" i="44"/>
  <c r="G13" i="44"/>
  <c r="E13" i="44"/>
  <c r="F31" i="44"/>
  <c r="J32" i="44"/>
  <c r="J33" i="44" s="1"/>
  <c r="J10" i="28"/>
  <c r="J12" i="28"/>
  <c r="J15" i="28"/>
  <c r="K12" i="28" s="1"/>
  <c r="J64" i="44"/>
  <c r="I64" i="44"/>
  <c r="H64" i="44"/>
  <c r="G64" i="44"/>
  <c r="F64" i="44"/>
  <c r="E64" i="44"/>
  <c r="I32" i="44"/>
  <c r="H32" i="44"/>
  <c r="G32" i="44"/>
  <c r="F32" i="44"/>
  <c r="E32" i="44"/>
  <c r="J47" i="44"/>
  <c r="I47" i="44"/>
  <c r="H47" i="44"/>
  <c r="G47" i="44"/>
  <c r="F47" i="44"/>
  <c r="E47" i="44"/>
  <c r="I42" i="44"/>
  <c r="H42" i="44"/>
  <c r="G42" i="44"/>
  <c r="F42" i="44"/>
  <c r="E42" i="44"/>
  <c r="BW60" i="44"/>
  <c r="BU60" i="44"/>
  <c r="BS60" i="44"/>
  <c r="BQ60" i="44"/>
  <c r="BO60" i="44"/>
  <c r="BM60" i="44"/>
  <c r="BK60" i="44"/>
  <c r="BI60" i="44"/>
  <c r="BG60" i="44"/>
  <c r="BE60" i="44"/>
  <c r="BC60" i="44"/>
  <c r="BA60" i="44"/>
  <c r="AY60" i="44"/>
  <c r="AW60" i="44"/>
  <c r="AU60" i="44"/>
  <c r="AS60" i="44"/>
  <c r="AQ60" i="44"/>
  <c r="AO60" i="44"/>
  <c r="AM60" i="44"/>
  <c r="AK60" i="44"/>
  <c r="AI60" i="44"/>
  <c r="AG60" i="44"/>
  <c r="AE60" i="44"/>
  <c r="AC60" i="44"/>
  <c r="AA60" i="44"/>
  <c r="J61" i="44"/>
  <c r="J60" i="44"/>
  <c r="J62" i="44"/>
  <c r="F46" i="44"/>
  <c r="J48" i="44"/>
  <c r="G41" i="44"/>
  <c r="E41" i="44"/>
  <c r="G46" i="44"/>
  <c r="E46" i="44"/>
  <c r="G37" i="44"/>
  <c r="E37" i="44"/>
  <c r="G36" i="44"/>
  <c r="E36" i="44"/>
  <c r="BX5" i="28"/>
  <c r="BW5" i="28"/>
  <c r="BV5" i="28"/>
  <c r="BU5" i="28"/>
  <c r="BT5" i="28"/>
  <c r="BS5" i="28"/>
  <c r="BR5" i="28"/>
  <c r="BQ5" i="28"/>
  <c r="BP5" i="28"/>
  <c r="BO5" i="28"/>
  <c r="BN5" i="28"/>
  <c r="BM5" i="28"/>
  <c r="BL5" i="28"/>
  <c r="BK5" i="28"/>
  <c r="BJ5" i="28"/>
  <c r="BI5" i="28"/>
  <c r="BH5" i="28"/>
  <c r="BG5" i="28"/>
  <c r="BF5" i="28"/>
  <c r="BE5" i="28"/>
  <c r="BD5" i="28"/>
  <c r="BC5" i="28"/>
  <c r="BB5" i="28"/>
  <c r="BA5" i="28"/>
  <c r="AZ5" i="28"/>
  <c r="AY5" i="28"/>
  <c r="AX5" i="28"/>
  <c r="AW5" i="28"/>
  <c r="AV5" i="28"/>
  <c r="AU5" i="28"/>
  <c r="AT5" i="28"/>
  <c r="AS5" i="28"/>
  <c r="AR5" i="28"/>
  <c r="AQ5" i="28"/>
  <c r="AP5" i="28"/>
  <c r="AO5" i="28"/>
  <c r="AN5" i="28"/>
  <c r="AM5" i="28"/>
  <c r="AL5" i="28"/>
  <c r="AK5" i="28"/>
  <c r="AJ5" i="28"/>
  <c r="AI5" i="28"/>
  <c r="AH5" i="28"/>
  <c r="AG5" i="28"/>
  <c r="AF5" i="28"/>
  <c r="AE5" i="28"/>
  <c r="AD5" i="28"/>
  <c r="AC5" i="28"/>
  <c r="AB5" i="28"/>
  <c r="AA5" i="28"/>
  <c r="Z5" i="28"/>
  <c r="Y5" i="28"/>
  <c r="X5" i="28"/>
  <c r="W5" i="28"/>
  <c r="V5" i="28"/>
  <c r="U5" i="28"/>
  <c r="T5" i="28"/>
  <c r="S5" i="28"/>
  <c r="R5" i="28"/>
  <c r="Q5" i="28"/>
  <c r="P5" i="28"/>
  <c r="O5" i="28"/>
  <c r="N5" i="28"/>
  <c r="M5" i="28"/>
  <c r="L5" i="28"/>
  <c r="K5" i="28"/>
  <c r="J5" i="28"/>
  <c r="E5" i="28"/>
  <c r="BW24" i="44"/>
  <c r="BU24" i="44"/>
  <c r="BS24" i="44"/>
  <c r="BQ24" i="44"/>
  <c r="BO24" i="44"/>
  <c r="BM24" i="44"/>
  <c r="BK24" i="44"/>
  <c r="BI24" i="44"/>
  <c r="BG24" i="44"/>
  <c r="BE24" i="44"/>
  <c r="BC24" i="44"/>
  <c r="BA24" i="44"/>
  <c r="AY24" i="44"/>
  <c r="AW24" i="44"/>
  <c r="AU24" i="44"/>
  <c r="AS24" i="44"/>
  <c r="AQ24" i="44"/>
  <c r="AO24" i="44"/>
  <c r="AM24" i="44"/>
  <c r="AK24" i="44"/>
  <c r="AI24" i="44"/>
  <c r="AG24" i="44"/>
  <c r="AE24" i="44"/>
  <c r="AC24" i="44"/>
  <c r="AA24" i="44"/>
  <c r="J24" i="44"/>
  <c r="F21" i="44"/>
  <c r="J25" i="44" s="1"/>
  <c r="J4" i="28" s="1"/>
  <c r="F22" i="44"/>
  <c r="E4" i="28"/>
  <c r="J53" i="44"/>
  <c r="J54" i="44"/>
  <c r="J55" i="44"/>
  <c r="J3" i="28" s="1"/>
  <c r="E3" i="28"/>
  <c r="J2" i="28"/>
  <c r="E2" i="28"/>
  <c r="A1" i="28"/>
  <c r="J20" i="49"/>
  <c r="I20" i="49"/>
  <c r="H20" i="49"/>
  <c r="G20" i="49"/>
  <c r="F20" i="49"/>
  <c r="E20" i="49"/>
  <c r="BX5" i="49"/>
  <c r="BW5" i="49"/>
  <c r="BV5" i="49"/>
  <c r="BU5" i="49"/>
  <c r="BT5" i="49"/>
  <c r="BS5" i="49"/>
  <c r="BR5" i="49"/>
  <c r="BQ5" i="49"/>
  <c r="BP5" i="49"/>
  <c r="BO5" i="49"/>
  <c r="BN5" i="49"/>
  <c r="BM5" i="49"/>
  <c r="BL5" i="49"/>
  <c r="BK5" i="49"/>
  <c r="BJ5" i="49"/>
  <c r="BI5" i="49"/>
  <c r="BH5" i="49"/>
  <c r="BG5" i="49"/>
  <c r="BF5" i="49"/>
  <c r="BE5" i="49"/>
  <c r="BD5" i="49"/>
  <c r="BC5" i="49"/>
  <c r="BB5" i="49"/>
  <c r="BA5" i="49"/>
  <c r="AZ5" i="49"/>
  <c r="AY5" i="49"/>
  <c r="AX5" i="49"/>
  <c r="AW5" i="49"/>
  <c r="AV5" i="49"/>
  <c r="AU5" i="49"/>
  <c r="AT5" i="49"/>
  <c r="AS5" i="49"/>
  <c r="AR5" i="49"/>
  <c r="AQ5" i="49"/>
  <c r="AP5" i="49"/>
  <c r="AO5" i="49"/>
  <c r="AN5" i="49"/>
  <c r="AM5" i="49"/>
  <c r="AL5" i="49"/>
  <c r="AK5" i="49"/>
  <c r="AJ5" i="49"/>
  <c r="AI5" i="49"/>
  <c r="AH5" i="49"/>
  <c r="AG5" i="49"/>
  <c r="AF5" i="49"/>
  <c r="AE5" i="49"/>
  <c r="AD5" i="49"/>
  <c r="AC5" i="49"/>
  <c r="AB5" i="49"/>
  <c r="AA5" i="49"/>
  <c r="Z5" i="49"/>
  <c r="Y5" i="49"/>
  <c r="X5" i="49"/>
  <c r="W5" i="49"/>
  <c r="V5" i="49"/>
  <c r="U5" i="49"/>
  <c r="T5" i="49"/>
  <c r="S5" i="49"/>
  <c r="R5" i="49"/>
  <c r="Q5" i="49"/>
  <c r="P5" i="49"/>
  <c r="O5" i="49"/>
  <c r="N5" i="49"/>
  <c r="M5" i="49"/>
  <c r="L5" i="49"/>
  <c r="K5" i="49"/>
  <c r="J5" i="49"/>
  <c r="E5" i="49"/>
  <c r="J4" i="49"/>
  <c r="E4" i="49"/>
  <c r="J3" i="49"/>
  <c r="E3" i="49"/>
  <c r="J2" i="49"/>
  <c r="E2" i="49"/>
  <c r="I61" i="44"/>
  <c r="H61" i="44"/>
  <c r="G61" i="44"/>
  <c r="F61" i="44"/>
  <c r="E61" i="44"/>
  <c r="I60" i="44"/>
  <c r="G60" i="44"/>
  <c r="F60" i="44"/>
  <c r="E60" i="44"/>
  <c r="CA60" i="44"/>
  <c r="CA62" i="44"/>
  <c r="BZ60" i="44"/>
  <c r="G22" i="44"/>
  <c r="E22" i="44"/>
  <c r="G21" i="44"/>
  <c r="E21" i="44"/>
  <c r="BX5" i="44"/>
  <c r="BW5" i="44"/>
  <c r="BV5" i="44"/>
  <c r="BU5" i="44"/>
  <c r="BT5" i="44"/>
  <c r="BS5" i="44"/>
  <c r="BR5" i="44"/>
  <c r="BQ5" i="44"/>
  <c r="BP5" i="44"/>
  <c r="BO5" i="44"/>
  <c r="BN5" i="44"/>
  <c r="BM5" i="44"/>
  <c r="BL5" i="44"/>
  <c r="BK5" i="44"/>
  <c r="BJ5" i="44"/>
  <c r="BI5" i="44"/>
  <c r="BH5" i="44"/>
  <c r="BG5" i="44"/>
  <c r="BF5" i="44"/>
  <c r="BE5" i="44"/>
  <c r="BD5" i="44"/>
  <c r="BC5" i="44"/>
  <c r="BB5" i="44"/>
  <c r="BA5" i="44"/>
  <c r="AZ5" i="44"/>
  <c r="AY5" i="44"/>
  <c r="AX5" i="44"/>
  <c r="AW5" i="44"/>
  <c r="AV5" i="44"/>
  <c r="AU5" i="44"/>
  <c r="AT5" i="44"/>
  <c r="AS5" i="44"/>
  <c r="AR5" i="44"/>
  <c r="AQ5" i="44"/>
  <c r="AP5" i="44"/>
  <c r="AO5" i="44"/>
  <c r="AN5" i="44"/>
  <c r="AM5" i="44"/>
  <c r="AL5" i="44"/>
  <c r="AK5" i="44"/>
  <c r="AJ5" i="44"/>
  <c r="AI5" i="44"/>
  <c r="AH5" i="44"/>
  <c r="AG5" i="44"/>
  <c r="AF5" i="44"/>
  <c r="AE5" i="44"/>
  <c r="AD5" i="44"/>
  <c r="AC5" i="44"/>
  <c r="AB5" i="44"/>
  <c r="AA5" i="44"/>
  <c r="Z5" i="44"/>
  <c r="Y5" i="44"/>
  <c r="X5" i="44"/>
  <c r="W5" i="44"/>
  <c r="V5" i="44"/>
  <c r="U5" i="44"/>
  <c r="T5" i="44"/>
  <c r="S5" i="44"/>
  <c r="R5" i="44"/>
  <c r="Q5" i="44"/>
  <c r="P5" i="44"/>
  <c r="O5" i="44"/>
  <c r="N5" i="44"/>
  <c r="M5" i="44"/>
  <c r="L5" i="44"/>
  <c r="K5" i="44"/>
  <c r="J5" i="44"/>
  <c r="E5" i="44"/>
  <c r="J4" i="44"/>
  <c r="E4" i="44"/>
  <c r="J23" i="44"/>
  <c r="I23" i="44"/>
  <c r="H23" i="44"/>
  <c r="G23" i="44"/>
  <c r="F23" i="44"/>
  <c r="I24" i="44"/>
  <c r="G24" i="44"/>
  <c r="F24" i="44"/>
  <c r="E24" i="44"/>
  <c r="E23" i="44"/>
  <c r="J3" i="44"/>
  <c r="E3" i="44"/>
  <c r="I54" i="44"/>
  <c r="G54" i="44"/>
  <c r="F54" i="44"/>
  <c r="I53" i="44"/>
  <c r="G53" i="44"/>
  <c r="F53" i="44"/>
  <c r="E54" i="44"/>
  <c r="E53" i="44"/>
  <c r="J2" i="44"/>
  <c r="E2" i="44"/>
  <c r="J65" i="44"/>
  <c r="J72" i="49" s="1"/>
  <c r="J73" i="49"/>
  <c r="I72" i="49"/>
  <c r="H72" i="49"/>
  <c r="G72" i="49"/>
  <c r="F72" i="49"/>
  <c r="E72" i="49"/>
  <c r="I55" i="49"/>
  <c r="G55" i="49"/>
  <c r="F55" i="49"/>
  <c r="I54" i="49"/>
  <c r="G54" i="49"/>
  <c r="F54" i="49"/>
  <c r="I53" i="49"/>
  <c r="G53" i="49"/>
  <c r="F53" i="49"/>
  <c r="E55" i="49"/>
  <c r="E54" i="49"/>
  <c r="E53" i="49"/>
  <c r="I49" i="49"/>
  <c r="G49" i="49"/>
  <c r="F49" i="49"/>
  <c r="E49" i="49"/>
  <c r="I48" i="49"/>
  <c r="H48" i="49"/>
  <c r="G48" i="49"/>
  <c r="F48" i="49"/>
  <c r="E48" i="49"/>
  <c r="I44" i="49"/>
  <c r="G44" i="49"/>
  <c r="F44" i="49"/>
  <c r="E44" i="49"/>
  <c r="I43" i="49"/>
  <c r="G43" i="49"/>
  <c r="F43" i="49"/>
  <c r="E43" i="49"/>
  <c r="I34" i="49"/>
  <c r="G34" i="49"/>
  <c r="F34" i="49"/>
  <c r="E34" i="49"/>
  <c r="I33" i="49"/>
  <c r="G33" i="49"/>
  <c r="F33" i="49"/>
  <c r="E33" i="49"/>
  <c r="I29" i="49"/>
  <c r="G29" i="49"/>
  <c r="F29" i="49"/>
  <c r="E29" i="49"/>
  <c r="I25" i="49"/>
  <c r="G25" i="49"/>
  <c r="F25" i="49"/>
  <c r="E25" i="49"/>
  <c r="I24" i="49"/>
  <c r="G24" i="49"/>
  <c r="F24" i="49"/>
  <c r="E24" i="49"/>
  <c r="J21" i="49"/>
  <c r="I15" i="49"/>
  <c r="G15" i="49"/>
  <c r="F15" i="49"/>
  <c r="E15" i="49"/>
  <c r="I11" i="49"/>
  <c r="G11" i="49"/>
  <c r="F11" i="49"/>
  <c r="E11" i="49"/>
  <c r="J42" i="49"/>
  <c r="I40" i="49"/>
  <c r="G40" i="49"/>
  <c r="F40" i="49"/>
  <c r="E40" i="49"/>
  <c r="A1" i="49"/>
  <c r="G31" i="44"/>
  <c r="E31" i="44"/>
  <c r="G40" i="44"/>
  <c r="E40" i="44"/>
  <c r="J40" i="49"/>
  <c r="J11" i="49"/>
  <c r="J12" i="49" s="1"/>
  <c r="J24" i="49"/>
  <c r="J25" i="49"/>
  <c r="J26" i="49" s="1"/>
  <c r="J45" i="49"/>
  <c r="K42" i="49"/>
  <c r="I10" i="28"/>
  <c r="G10" i="28"/>
  <c r="F10" i="28"/>
  <c r="E10" i="28"/>
  <c r="A1" i="48"/>
  <c r="A1" i="44"/>
  <c r="G12" i="44"/>
  <c r="E12" i="44"/>
  <c r="I14" i="44"/>
  <c r="G14" i="44"/>
  <c r="F14" i="44"/>
  <c r="E14" i="44"/>
  <c r="J48" i="49"/>
  <c r="J50" i="49" s="1"/>
  <c r="J55" i="49" s="1"/>
  <c r="J49" i="49"/>
  <c r="J34" i="49"/>
  <c r="J44" i="49" l="1"/>
  <c r="J29" i="49"/>
  <c r="J30" i="49" s="1"/>
  <c r="J43" i="49"/>
  <c r="J15" i="49"/>
  <c r="J16" i="49" s="1"/>
  <c r="BY9" i="44"/>
  <c r="BX10" i="44"/>
  <c r="K10" i="44"/>
  <c r="L10" i="44"/>
  <c r="M10" i="44"/>
  <c r="N10" i="44"/>
  <c r="O10" i="44"/>
  <c r="P10" i="44"/>
  <c r="Q10" i="44"/>
  <c r="R10" i="44"/>
  <c r="S10" i="44"/>
  <c r="T10" i="44"/>
  <c r="U10" i="44"/>
  <c r="V10" i="44"/>
  <c r="W10" i="44"/>
  <c r="X10" i="44"/>
  <c r="Y10" i="44"/>
  <c r="Z10" i="44"/>
  <c r="AB10" i="44"/>
  <c r="AD10" i="44"/>
  <c r="AF10" i="44"/>
  <c r="AH10" i="44"/>
  <c r="AJ10" i="44"/>
  <c r="AL10" i="44"/>
  <c r="AN10" i="44"/>
  <c r="AP10" i="44"/>
  <c r="AR10" i="44"/>
  <c r="AT10" i="44"/>
  <c r="AV10" i="44"/>
  <c r="AX10" i="44"/>
  <c r="AZ10" i="44"/>
  <c r="BB10" i="44"/>
  <c r="BD10" i="44"/>
  <c r="BF10" i="44"/>
  <c r="BH10" i="44"/>
  <c r="BJ10" i="44"/>
  <c r="BL10" i="44"/>
  <c r="BN10" i="44"/>
  <c r="BP10" i="44"/>
  <c r="BR10" i="44"/>
  <c r="BT10" i="44"/>
  <c r="BV10" i="44"/>
  <c r="BV14" i="44" l="1"/>
  <c r="BV60" i="44"/>
  <c r="BV24" i="44"/>
  <c r="BN14" i="44"/>
  <c r="BN60" i="44"/>
  <c r="BN24" i="44"/>
  <c r="BF14" i="44"/>
  <c r="BF60" i="44"/>
  <c r="BF24" i="44"/>
  <c r="AX14" i="44"/>
  <c r="AX60" i="44"/>
  <c r="AX24" i="44"/>
  <c r="AT14" i="44"/>
  <c r="AT60" i="44"/>
  <c r="AT24" i="44"/>
  <c r="AL14" i="44"/>
  <c r="AL60" i="44"/>
  <c r="AL24" i="44"/>
  <c r="AD14" i="44"/>
  <c r="AD60" i="44"/>
  <c r="AD24" i="44"/>
  <c r="X14" i="44"/>
  <c r="X60" i="44"/>
  <c r="X24" i="44"/>
  <c r="V14" i="44"/>
  <c r="V60" i="44"/>
  <c r="V24" i="44"/>
  <c r="R14" i="44"/>
  <c r="R60" i="44"/>
  <c r="R24" i="44"/>
  <c r="P14" i="44"/>
  <c r="P60" i="44"/>
  <c r="P24" i="44"/>
  <c r="L14" i="44"/>
  <c r="L60" i="44"/>
  <c r="L24" i="44"/>
  <c r="BT14" i="44"/>
  <c r="BT60" i="44"/>
  <c r="BT24" i="44"/>
  <c r="BP14" i="44"/>
  <c r="BP60" i="44"/>
  <c r="BP24" i="44"/>
  <c r="BL14" i="44"/>
  <c r="BL60" i="44"/>
  <c r="BL24" i="44"/>
  <c r="BH14" i="44"/>
  <c r="BH60" i="44"/>
  <c r="BH24" i="44"/>
  <c r="BD14" i="44"/>
  <c r="BD60" i="44"/>
  <c r="BD24" i="44"/>
  <c r="AZ14" i="44"/>
  <c r="AZ60" i="44"/>
  <c r="AZ24" i="44"/>
  <c r="AV14" i="44"/>
  <c r="AV60" i="44"/>
  <c r="AV24" i="44"/>
  <c r="AR14" i="44"/>
  <c r="AR60" i="44"/>
  <c r="AR24" i="44"/>
  <c r="AN14" i="44"/>
  <c r="AN60" i="44"/>
  <c r="AN24" i="44"/>
  <c r="AJ14" i="44"/>
  <c r="AJ60" i="44"/>
  <c r="AJ24" i="44"/>
  <c r="AF14" i="44"/>
  <c r="AF60" i="44"/>
  <c r="AF24" i="44"/>
  <c r="AB14" i="44"/>
  <c r="AB60" i="44"/>
  <c r="AB24" i="44"/>
  <c r="Y14" i="44"/>
  <c r="Y60" i="44"/>
  <c r="Y24" i="44"/>
  <c r="W14" i="44"/>
  <c r="W60" i="44"/>
  <c r="W24" i="44"/>
  <c r="U14" i="44"/>
  <c r="U60" i="44"/>
  <c r="U24" i="44"/>
  <c r="S14" i="44"/>
  <c r="S60" i="44"/>
  <c r="S24" i="44"/>
  <c r="Q14" i="44"/>
  <c r="Q60" i="44"/>
  <c r="Q24" i="44"/>
  <c r="O14" i="44"/>
  <c r="O60" i="44"/>
  <c r="O24" i="44"/>
  <c r="M14" i="44"/>
  <c r="M60" i="44"/>
  <c r="M24" i="44"/>
  <c r="K14" i="44"/>
  <c r="K15" i="44" s="1"/>
  <c r="K18" i="44" s="1"/>
  <c r="K19" i="44" s="1"/>
  <c r="K60" i="44"/>
  <c r="K24" i="44"/>
  <c r="H10" i="44"/>
  <c r="BY10" i="44"/>
  <c r="BY5" i="28"/>
  <c r="BY5" i="49"/>
  <c r="BY5" i="44"/>
  <c r="J33" i="49"/>
  <c r="J35" i="49" s="1"/>
  <c r="BR14" i="44"/>
  <c r="BR60" i="44"/>
  <c r="BR24" i="44"/>
  <c r="BJ14" i="44"/>
  <c r="BJ60" i="44"/>
  <c r="BJ24" i="44"/>
  <c r="BB14" i="44"/>
  <c r="BB60" i="44"/>
  <c r="BB24" i="44"/>
  <c r="AP14" i="44"/>
  <c r="AP60" i="44"/>
  <c r="AP24" i="44"/>
  <c r="AH14" i="44"/>
  <c r="AH60" i="44"/>
  <c r="AH24" i="44"/>
  <c r="Z14" i="44"/>
  <c r="Z60" i="44"/>
  <c r="Z24" i="44"/>
  <c r="T14" i="44"/>
  <c r="T60" i="44"/>
  <c r="T24" i="44"/>
  <c r="N14" i="44"/>
  <c r="N60" i="44"/>
  <c r="N24" i="44"/>
  <c r="BX14" i="44"/>
  <c r="BX60" i="44"/>
  <c r="BX24" i="44"/>
  <c r="J53" i="49"/>
  <c r="BY14" i="44" l="1"/>
  <c r="BY60" i="44"/>
  <c r="BY24" i="44"/>
  <c r="K32" i="44"/>
  <c r="K33" i="44" s="1"/>
  <c r="K64" i="44"/>
  <c r="K65" i="44" s="1"/>
  <c r="K73" i="49" s="1"/>
  <c r="K47" i="44"/>
  <c r="K48" i="44" s="1"/>
  <c r="K42" i="44"/>
  <c r="K43" i="44" s="1"/>
  <c r="K61" i="44"/>
  <c r="K23" i="44"/>
  <c r="K25" i="44" s="1"/>
  <c r="K2" i="28"/>
  <c r="K2" i="49"/>
  <c r="K2" i="44"/>
  <c r="L15" i="44"/>
  <c r="L18" i="44" s="1"/>
  <c r="L19" i="44" s="1"/>
  <c r="J54" i="49"/>
  <c r="J56" i="49" s="1"/>
  <c r="H60" i="44"/>
  <c r="H24" i="44"/>
  <c r="H14" i="44"/>
  <c r="K62" i="44"/>
  <c r="K20" i="49" s="1"/>
  <c r="K21" i="49" s="1"/>
  <c r="M15" i="44"/>
  <c r="M18" i="44" s="1"/>
  <c r="M19" i="44" s="1"/>
  <c r="N15" i="44" s="1"/>
  <c r="N18" i="44" s="1"/>
  <c r="N19" i="44" s="1"/>
  <c r="N32" i="44" l="1"/>
  <c r="N33" i="44" s="1"/>
  <c r="N64" i="44"/>
  <c r="N65" i="44" s="1"/>
  <c r="N72" i="49" s="1"/>
  <c r="N73" i="49" s="1"/>
  <c r="N47" i="44"/>
  <c r="N48" i="44" s="1"/>
  <c r="N23" i="44"/>
  <c r="N42" i="44"/>
  <c r="N43" i="44" s="1"/>
  <c r="N61" i="44"/>
  <c r="N2" i="28"/>
  <c r="N2" i="49"/>
  <c r="N2" i="44"/>
  <c r="O15" i="44"/>
  <c r="O18" i="44" s="1"/>
  <c r="O19" i="44" s="1"/>
  <c r="K4" i="28"/>
  <c r="K4" i="44"/>
  <c r="K4" i="49"/>
  <c r="K24" i="49"/>
  <c r="K26" i="49" s="1"/>
  <c r="K54" i="44"/>
  <c r="K49" i="49"/>
  <c r="K25" i="49"/>
  <c r="K34" i="49"/>
  <c r="K11" i="49"/>
  <c r="K12" i="49" s="1"/>
  <c r="M32" i="44"/>
  <c r="M33" i="44" s="1"/>
  <c r="M64" i="44"/>
  <c r="M65" i="44" s="1"/>
  <c r="M72" i="49" s="1"/>
  <c r="M73" i="49" s="1"/>
  <c r="M47" i="44"/>
  <c r="M48" i="44" s="1"/>
  <c r="M42" i="44"/>
  <c r="M43" i="44" s="1"/>
  <c r="M61" i="44"/>
  <c r="M23" i="44"/>
  <c r="M2" i="28"/>
  <c r="M2" i="49"/>
  <c r="M2" i="44"/>
  <c r="L32" i="44"/>
  <c r="L33" i="44" s="1"/>
  <c r="L64" i="44"/>
  <c r="L65" i="44" s="1"/>
  <c r="L72" i="49" s="1"/>
  <c r="L73" i="49" s="1"/>
  <c r="L47" i="44"/>
  <c r="L48" i="44" s="1"/>
  <c r="L42" i="44"/>
  <c r="L43" i="44" s="1"/>
  <c r="L23" i="44"/>
  <c r="L25" i="44" s="1"/>
  <c r="L61" i="44"/>
  <c r="L62" i="44" s="1"/>
  <c r="L20" i="49" s="1"/>
  <c r="L21" i="49" s="1"/>
  <c r="L24" i="49" s="1"/>
  <c r="L2" i="28"/>
  <c r="L2" i="49"/>
  <c r="L2" i="44"/>
  <c r="K10" i="28"/>
  <c r="K15" i="28" s="1"/>
  <c r="L12" i="28" s="1"/>
  <c r="K53" i="44"/>
  <c r="K55" i="44" s="1"/>
  <c r="K40" i="49"/>
  <c r="K3" i="49" l="1"/>
  <c r="K3" i="28"/>
  <c r="K3" i="44"/>
  <c r="L54" i="44"/>
  <c r="L49" i="49"/>
  <c r="L25" i="49"/>
  <c r="L26" i="49" s="1"/>
  <c r="L34" i="49"/>
  <c r="L11" i="49"/>
  <c r="L12" i="49" s="1"/>
  <c r="M62" i="44"/>
  <c r="M20" i="49" s="1"/>
  <c r="M21" i="49" s="1"/>
  <c r="M24" i="49" s="1"/>
  <c r="M10" i="28"/>
  <c r="M53" i="44"/>
  <c r="M40" i="49"/>
  <c r="K43" i="49"/>
  <c r="K45" i="49" s="1"/>
  <c r="K15" i="49"/>
  <c r="K16" i="49" s="1"/>
  <c r="O32" i="44"/>
  <c r="O33" i="44" s="1"/>
  <c r="O64" i="44"/>
  <c r="O65" i="44" s="1"/>
  <c r="O72" i="49" s="1"/>
  <c r="O73" i="49" s="1"/>
  <c r="O47" i="44"/>
  <c r="O48" i="44" s="1"/>
  <c r="O42" i="44"/>
  <c r="O43" i="44" s="1"/>
  <c r="O61" i="44"/>
  <c r="O62" i="44" s="1"/>
  <c r="O20" i="49" s="1"/>
  <c r="O21" i="49" s="1"/>
  <c r="O24" i="49" s="1"/>
  <c r="O23" i="44"/>
  <c r="O2" i="28"/>
  <c r="O2" i="49"/>
  <c r="O2" i="44"/>
  <c r="P15" i="44"/>
  <c r="P18" i="44" s="1"/>
  <c r="P19" i="44" s="1"/>
  <c r="N62" i="44"/>
  <c r="N20" i="49" s="1"/>
  <c r="N21" i="49" s="1"/>
  <c r="N24" i="49" s="1"/>
  <c r="L4" i="28"/>
  <c r="L4" i="49"/>
  <c r="L4" i="44"/>
  <c r="L10" i="28"/>
  <c r="L15" i="28" s="1"/>
  <c r="M12" i="28" s="1"/>
  <c r="L53" i="44"/>
  <c r="L55" i="44" s="1"/>
  <c r="L40" i="49"/>
  <c r="M25" i="44"/>
  <c r="N25" i="44" s="1"/>
  <c r="M54" i="44"/>
  <c r="M49" i="49"/>
  <c r="M25" i="49"/>
  <c r="M34" i="49"/>
  <c r="M11" i="49"/>
  <c r="M12" i="49" s="1"/>
  <c r="K44" i="49"/>
  <c r="K29" i="49"/>
  <c r="K30" i="49" s="1"/>
  <c r="N54" i="44"/>
  <c r="N49" i="49"/>
  <c r="N25" i="49"/>
  <c r="N34" i="49"/>
  <c r="N11" i="49"/>
  <c r="N12" i="49" s="1"/>
  <c r="N10" i="28"/>
  <c r="N53" i="44"/>
  <c r="N55" i="44" s="1"/>
  <c r="N40" i="49"/>
  <c r="L42" i="49" l="1"/>
  <c r="K48" i="49"/>
  <c r="K50" i="49" s="1"/>
  <c r="L29" i="49"/>
  <c r="L30" i="49" s="1"/>
  <c r="L33" i="49" s="1"/>
  <c r="L35" i="49" s="1"/>
  <c r="L54" i="49" s="1"/>
  <c r="L44" i="49"/>
  <c r="P32" i="44"/>
  <c r="P33" i="44" s="1"/>
  <c r="P64" i="44"/>
  <c r="P65" i="44" s="1"/>
  <c r="P72" i="49" s="1"/>
  <c r="P73" i="49" s="1"/>
  <c r="P47" i="44"/>
  <c r="P48" i="44" s="1"/>
  <c r="P42" i="44"/>
  <c r="P43" i="44" s="1"/>
  <c r="P23" i="44"/>
  <c r="P61" i="44"/>
  <c r="P62" i="44" s="1"/>
  <c r="P20" i="49" s="1"/>
  <c r="P21" i="49" s="1"/>
  <c r="P2" i="28"/>
  <c r="P2" i="49"/>
  <c r="P2" i="44"/>
  <c r="Q15" i="44"/>
  <c r="Q18" i="44" s="1"/>
  <c r="Q19" i="44" s="1"/>
  <c r="N3" i="28"/>
  <c r="N3" i="49"/>
  <c r="N3" i="44"/>
  <c r="N43" i="49"/>
  <c r="N15" i="49"/>
  <c r="N16" i="49" s="1"/>
  <c r="N53" i="49" s="1"/>
  <c r="K33" i="49"/>
  <c r="K35" i="49" s="1"/>
  <c r="M4" i="28"/>
  <c r="M4" i="44"/>
  <c r="M4" i="49"/>
  <c r="L3" i="28"/>
  <c r="L3" i="49"/>
  <c r="L3" i="44"/>
  <c r="N26" i="49"/>
  <c r="O10" i="28"/>
  <c r="O53" i="44"/>
  <c r="O40" i="49"/>
  <c r="M55" i="44"/>
  <c r="M26" i="49"/>
  <c r="M43" i="49"/>
  <c r="M15" i="49"/>
  <c r="M16" i="49" s="1"/>
  <c r="M53" i="49" s="1"/>
  <c r="N4" i="28"/>
  <c r="N4" i="49"/>
  <c r="N4" i="44"/>
  <c r="O25" i="44"/>
  <c r="O54" i="44"/>
  <c r="O49" i="49"/>
  <c r="O25" i="49"/>
  <c r="O26" i="49" s="1"/>
  <c r="O34" i="49"/>
  <c r="O11" i="49"/>
  <c r="O12" i="49" s="1"/>
  <c r="K53" i="49"/>
  <c r="M15" i="28"/>
  <c r="N12" i="28" s="1"/>
  <c r="N15" i="28" s="1"/>
  <c r="O12" i="28" s="1"/>
  <c r="L43" i="49"/>
  <c r="L45" i="49" s="1"/>
  <c r="L15" i="49"/>
  <c r="L16" i="49" s="1"/>
  <c r="L53" i="49" s="1"/>
  <c r="O29" i="49" l="1"/>
  <c r="O30" i="49" s="1"/>
  <c r="O33" i="49" s="1"/>
  <c r="O35" i="49" s="1"/>
  <c r="O54" i="49" s="1"/>
  <c r="O44" i="49"/>
  <c r="M42" i="49"/>
  <c r="L48" i="49"/>
  <c r="L50" i="49" s="1"/>
  <c r="L55" i="49" s="1"/>
  <c r="L56" i="49"/>
  <c r="O43" i="49"/>
  <c r="O15" i="49"/>
  <c r="O16" i="49" s="1"/>
  <c r="O53" i="49" s="1"/>
  <c r="O4" i="28"/>
  <c r="O4" i="44"/>
  <c r="O4" i="49"/>
  <c r="M3" i="49"/>
  <c r="M3" i="44"/>
  <c r="M3" i="28"/>
  <c r="O15" i="28"/>
  <c r="P12" i="28" s="1"/>
  <c r="N29" i="49"/>
  <c r="N30" i="49" s="1"/>
  <c r="N33" i="49" s="1"/>
  <c r="N35" i="49" s="1"/>
  <c r="N54" i="49" s="1"/>
  <c r="N44" i="49"/>
  <c r="K54" i="49"/>
  <c r="Q32" i="44"/>
  <c r="Q33" i="44" s="1"/>
  <c r="Q64" i="44"/>
  <c r="Q65" i="44" s="1"/>
  <c r="Q72" i="49" s="1"/>
  <c r="Q73" i="49" s="1"/>
  <c r="Q47" i="44"/>
  <c r="Q48" i="44" s="1"/>
  <c r="Q42" i="44"/>
  <c r="Q43" i="44" s="1"/>
  <c r="Q61" i="44"/>
  <c r="Q62" i="44" s="1"/>
  <c r="Q20" i="49" s="1"/>
  <c r="Q21" i="49" s="1"/>
  <c r="Q24" i="49" s="1"/>
  <c r="Q23" i="44"/>
  <c r="Q2" i="28"/>
  <c r="Q2" i="49"/>
  <c r="Q2" i="44"/>
  <c r="R15" i="44"/>
  <c r="R18" i="44" s="1"/>
  <c r="R19" i="44" s="1"/>
  <c r="P24" i="49"/>
  <c r="P54" i="44"/>
  <c r="P49" i="49"/>
  <c r="P25" i="49"/>
  <c r="P34" i="49"/>
  <c r="P11" i="49"/>
  <c r="P12" i="49" s="1"/>
  <c r="M29" i="49"/>
  <c r="M30" i="49" s="1"/>
  <c r="M44" i="49"/>
  <c r="O55" i="44"/>
  <c r="P25" i="44"/>
  <c r="P10" i="28"/>
  <c r="P15" i="28" s="1"/>
  <c r="Q12" i="28" s="1"/>
  <c r="P53" i="44"/>
  <c r="P55" i="44" s="1"/>
  <c r="P40" i="49"/>
  <c r="K55" i="49"/>
  <c r="K56" i="49" l="1"/>
  <c r="P3" i="28"/>
  <c r="P3" i="49"/>
  <c r="P3" i="44"/>
  <c r="P4" i="28"/>
  <c r="P4" i="49"/>
  <c r="P4" i="44"/>
  <c r="O3" i="49"/>
  <c r="O3" i="44"/>
  <c r="O3" i="28"/>
  <c r="M33" i="49"/>
  <c r="M35" i="49" s="1"/>
  <c r="R32" i="44"/>
  <c r="R33" i="44" s="1"/>
  <c r="R64" i="44"/>
  <c r="R65" i="44" s="1"/>
  <c r="R72" i="49" s="1"/>
  <c r="R73" i="49" s="1"/>
  <c r="R47" i="44"/>
  <c r="R48" i="44" s="1"/>
  <c r="R23" i="44"/>
  <c r="R42" i="44"/>
  <c r="R43" i="44" s="1"/>
  <c r="R61" i="44"/>
  <c r="R62" i="44" s="1"/>
  <c r="R20" i="49" s="1"/>
  <c r="R21" i="49" s="1"/>
  <c r="R24" i="49" s="1"/>
  <c r="R2" i="28"/>
  <c r="R2" i="49"/>
  <c r="R2" i="44"/>
  <c r="S15" i="44"/>
  <c r="S18" i="44" s="1"/>
  <c r="S19" i="44" s="1"/>
  <c r="Q25" i="44"/>
  <c r="Q54" i="44"/>
  <c r="Q49" i="49"/>
  <c r="Q25" i="49"/>
  <c r="Q34" i="49"/>
  <c r="Q11" i="49"/>
  <c r="Q12" i="49" s="1"/>
  <c r="P15" i="49"/>
  <c r="P16" i="49" s="1"/>
  <c r="P43" i="49"/>
  <c r="P26" i="49"/>
  <c r="Q26" i="49"/>
  <c r="Q10" i="28"/>
  <c r="Q15" i="28" s="1"/>
  <c r="R12" i="28" s="1"/>
  <c r="Q53" i="44"/>
  <c r="Q55" i="44" s="1"/>
  <c r="Q40" i="49"/>
  <c r="M45" i="49"/>
  <c r="Q3" i="49" l="1"/>
  <c r="Q3" i="44"/>
  <c r="Q3" i="28"/>
  <c r="Q29" i="49"/>
  <c r="Q30" i="49" s="1"/>
  <c r="Q33" i="49" s="1"/>
  <c r="Q35" i="49" s="1"/>
  <c r="Q54" i="49" s="1"/>
  <c r="Q44" i="49"/>
  <c r="N42" i="49"/>
  <c r="N45" i="49" s="1"/>
  <c r="M48" i="49"/>
  <c r="M50" i="49" s="1"/>
  <c r="P29" i="49"/>
  <c r="P30" i="49" s="1"/>
  <c r="P44" i="49"/>
  <c r="P53" i="49"/>
  <c r="Q15" i="49"/>
  <c r="Q16" i="49" s="1"/>
  <c r="Q53" i="49" s="1"/>
  <c r="Q43" i="49"/>
  <c r="S32" i="44"/>
  <c r="S33" i="44" s="1"/>
  <c r="S64" i="44"/>
  <c r="S65" i="44" s="1"/>
  <c r="S72" i="49" s="1"/>
  <c r="S73" i="49" s="1"/>
  <c r="S47" i="44"/>
  <c r="S48" i="44" s="1"/>
  <c r="S42" i="44"/>
  <c r="S43" i="44" s="1"/>
  <c r="S61" i="44"/>
  <c r="S62" i="44" s="1"/>
  <c r="S20" i="49" s="1"/>
  <c r="S21" i="49" s="1"/>
  <c r="S24" i="49" s="1"/>
  <c r="S23" i="44"/>
  <c r="S2" i="28"/>
  <c r="S2" i="49"/>
  <c r="S2" i="44"/>
  <c r="T15" i="44"/>
  <c r="T18" i="44" s="1"/>
  <c r="T19" i="44" s="1"/>
  <c r="R25" i="44"/>
  <c r="M54" i="49"/>
  <c r="Q4" i="28"/>
  <c r="Q4" i="44"/>
  <c r="Q4" i="49"/>
  <c r="R54" i="44"/>
  <c r="R49" i="49"/>
  <c r="R25" i="49"/>
  <c r="R26" i="49" s="1"/>
  <c r="R34" i="49"/>
  <c r="R11" i="49"/>
  <c r="R12" i="49" s="1"/>
  <c r="R10" i="28"/>
  <c r="R15" i="28" s="1"/>
  <c r="S12" i="28" s="1"/>
  <c r="R53" i="44"/>
  <c r="R55" i="44" s="1"/>
  <c r="R40" i="49"/>
  <c r="R29" i="49" l="1"/>
  <c r="R30" i="49" s="1"/>
  <c r="R33" i="49" s="1"/>
  <c r="R35" i="49" s="1"/>
  <c r="R54" i="49" s="1"/>
  <c r="R44" i="49"/>
  <c r="T32" i="44"/>
  <c r="T33" i="44" s="1"/>
  <c r="T64" i="44"/>
  <c r="T65" i="44" s="1"/>
  <c r="T72" i="49" s="1"/>
  <c r="T73" i="49" s="1"/>
  <c r="T47" i="44"/>
  <c r="T48" i="44" s="1"/>
  <c r="T42" i="44"/>
  <c r="T43" i="44" s="1"/>
  <c r="T23" i="44"/>
  <c r="T61" i="44"/>
  <c r="T62" i="44" s="1"/>
  <c r="T20" i="49" s="1"/>
  <c r="T21" i="49" s="1"/>
  <c r="T24" i="49" s="1"/>
  <c r="T2" i="28"/>
  <c r="T2" i="49"/>
  <c r="T2" i="44"/>
  <c r="U15" i="44"/>
  <c r="U18" i="44" s="1"/>
  <c r="U19" i="44" s="1"/>
  <c r="S54" i="44"/>
  <c r="S49" i="49"/>
  <c r="S25" i="49"/>
  <c r="S34" i="49"/>
  <c r="S11" i="49"/>
  <c r="S12" i="49" s="1"/>
  <c r="R3" i="28"/>
  <c r="R3" i="49"/>
  <c r="R3" i="44"/>
  <c r="R15" i="49"/>
  <c r="R16" i="49" s="1"/>
  <c r="R43" i="49"/>
  <c r="S26" i="49"/>
  <c r="S10" i="28"/>
  <c r="S15" i="28" s="1"/>
  <c r="T12" i="28" s="1"/>
  <c r="S53" i="44"/>
  <c r="S55" i="44" s="1"/>
  <c r="S40" i="49"/>
  <c r="O42" i="49"/>
  <c r="O45" i="49" s="1"/>
  <c r="N48" i="49"/>
  <c r="N50" i="49" s="1"/>
  <c r="N55" i="49" s="1"/>
  <c r="N56" i="49" s="1"/>
  <c r="R4" i="28"/>
  <c r="R4" i="49"/>
  <c r="R4" i="44"/>
  <c r="S25" i="44"/>
  <c r="P33" i="49"/>
  <c r="P35" i="49" s="1"/>
  <c r="M55" i="49"/>
  <c r="M56" i="49" s="1"/>
  <c r="S4" i="28" l="1"/>
  <c r="S4" i="44"/>
  <c r="S4" i="49"/>
  <c r="P42" i="49"/>
  <c r="P45" i="49" s="1"/>
  <c r="O48" i="49"/>
  <c r="O50" i="49" s="1"/>
  <c r="P54" i="49"/>
  <c r="S3" i="49"/>
  <c r="S3" i="44"/>
  <c r="S3" i="28"/>
  <c r="S29" i="49"/>
  <c r="S30" i="49" s="1"/>
  <c r="S44" i="49"/>
  <c r="R53" i="49"/>
  <c r="S15" i="49"/>
  <c r="S16" i="49" s="1"/>
  <c r="S53" i="49" s="1"/>
  <c r="S43" i="49"/>
  <c r="T25" i="44"/>
  <c r="T10" i="28"/>
  <c r="T15" i="28" s="1"/>
  <c r="U12" i="28" s="1"/>
  <c r="T53" i="44"/>
  <c r="T40" i="49"/>
  <c r="U32" i="44"/>
  <c r="U33" i="44" s="1"/>
  <c r="U64" i="44"/>
  <c r="U65" i="44" s="1"/>
  <c r="U72" i="49" s="1"/>
  <c r="U73" i="49" s="1"/>
  <c r="U47" i="44"/>
  <c r="U48" i="44" s="1"/>
  <c r="U42" i="44"/>
  <c r="U43" i="44" s="1"/>
  <c r="U61" i="44"/>
  <c r="U62" i="44" s="1"/>
  <c r="U20" i="49" s="1"/>
  <c r="U21" i="49" s="1"/>
  <c r="U24" i="49" s="1"/>
  <c r="U23" i="44"/>
  <c r="U2" i="28"/>
  <c r="U2" i="49"/>
  <c r="U2" i="44"/>
  <c r="V15" i="44"/>
  <c r="V18" i="44" s="1"/>
  <c r="V19" i="44" s="1"/>
  <c r="T54" i="44"/>
  <c r="T49" i="49"/>
  <c r="T25" i="49"/>
  <c r="T26" i="49" s="1"/>
  <c r="T34" i="49"/>
  <c r="T11" i="49"/>
  <c r="T12" i="49" s="1"/>
  <c r="U25" i="44" l="1"/>
  <c r="U4" i="28" s="1"/>
  <c r="T29" i="49"/>
  <c r="T30" i="49" s="1"/>
  <c r="T33" i="49" s="1"/>
  <c r="T35" i="49" s="1"/>
  <c r="T54" i="49" s="1"/>
  <c r="T44" i="49"/>
  <c r="T15" i="49"/>
  <c r="T16" i="49" s="1"/>
  <c r="T53" i="49" s="1"/>
  <c r="T43" i="49"/>
  <c r="U10" i="28"/>
  <c r="U15" i="28" s="1"/>
  <c r="V12" i="28" s="1"/>
  <c r="U53" i="44"/>
  <c r="U40" i="49"/>
  <c r="T55" i="44"/>
  <c r="T4" i="28"/>
  <c r="T4" i="49"/>
  <c r="T4" i="44"/>
  <c r="S33" i="49"/>
  <c r="S35" i="49" s="1"/>
  <c r="Q42" i="49"/>
  <c r="Q45" i="49" s="1"/>
  <c r="P48" i="49"/>
  <c r="P50" i="49" s="1"/>
  <c r="P55" i="49" s="1"/>
  <c r="V32" i="44"/>
  <c r="V33" i="44" s="1"/>
  <c r="V64" i="44"/>
  <c r="V65" i="44" s="1"/>
  <c r="V72" i="49" s="1"/>
  <c r="V73" i="49" s="1"/>
  <c r="V47" i="44"/>
  <c r="V48" i="44" s="1"/>
  <c r="V23" i="44"/>
  <c r="V42" i="44"/>
  <c r="V43" i="44" s="1"/>
  <c r="V61" i="44"/>
  <c r="V62" i="44" s="1"/>
  <c r="V20" i="49" s="1"/>
  <c r="V21" i="49" s="1"/>
  <c r="V24" i="49" s="1"/>
  <c r="V2" i="28"/>
  <c r="V2" i="49"/>
  <c r="V2" i="44"/>
  <c r="W15" i="44"/>
  <c r="W18" i="44" s="1"/>
  <c r="W19" i="44" s="1"/>
  <c r="U54" i="44"/>
  <c r="U49" i="49"/>
  <c r="U25" i="49"/>
  <c r="U26" i="49" s="1"/>
  <c r="U34" i="49"/>
  <c r="U11" i="49"/>
  <c r="U12" i="49" s="1"/>
  <c r="P56" i="49"/>
  <c r="O55" i="49"/>
  <c r="O56" i="49" s="1"/>
  <c r="U4" i="44" l="1"/>
  <c r="V25" i="44"/>
  <c r="V4" i="49" s="1"/>
  <c r="U4" i="49"/>
  <c r="U29" i="49"/>
  <c r="U30" i="49" s="1"/>
  <c r="U33" i="49" s="1"/>
  <c r="U35" i="49" s="1"/>
  <c r="U54" i="49" s="1"/>
  <c r="U44" i="49"/>
  <c r="U15" i="49"/>
  <c r="U16" i="49" s="1"/>
  <c r="U53" i="49" s="1"/>
  <c r="U43" i="49"/>
  <c r="W32" i="44"/>
  <c r="W33" i="44" s="1"/>
  <c r="W64" i="44"/>
  <c r="W65" i="44" s="1"/>
  <c r="W72" i="49" s="1"/>
  <c r="W73" i="49" s="1"/>
  <c r="W47" i="44"/>
  <c r="W48" i="44" s="1"/>
  <c r="W42" i="44"/>
  <c r="W43" i="44" s="1"/>
  <c r="W61" i="44"/>
  <c r="W62" i="44" s="1"/>
  <c r="W20" i="49" s="1"/>
  <c r="W21" i="49" s="1"/>
  <c r="W24" i="49" s="1"/>
  <c r="W23" i="44"/>
  <c r="W2" i="28"/>
  <c r="W2" i="49"/>
  <c r="W2" i="44"/>
  <c r="X15" i="44"/>
  <c r="X18" i="44" s="1"/>
  <c r="X19" i="44" s="1"/>
  <c r="V4" i="28"/>
  <c r="V4" i="44"/>
  <c r="U55" i="44"/>
  <c r="V54" i="44"/>
  <c r="V49" i="49"/>
  <c r="V25" i="49"/>
  <c r="V26" i="49" s="1"/>
  <c r="V34" i="49"/>
  <c r="V11" i="49"/>
  <c r="V12" i="49" s="1"/>
  <c r="V10" i="28"/>
  <c r="V15" i="28" s="1"/>
  <c r="W12" i="28" s="1"/>
  <c r="V53" i="44"/>
  <c r="V55" i="44" s="1"/>
  <c r="V40" i="49"/>
  <c r="R42" i="49"/>
  <c r="R45" i="49" s="1"/>
  <c r="Q48" i="49"/>
  <c r="Q50" i="49" s="1"/>
  <c r="S54" i="49"/>
  <c r="T3" i="28"/>
  <c r="T3" i="49"/>
  <c r="T3" i="44"/>
  <c r="W25" i="44" l="1"/>
  <c r="W4" i="28" s="1"/>
  <c r="V29" i="49"/>
  <c r="V30" i="49" s="1"/>
  <c r="V33" i="49" s="1"/>
  <c r="V35" i="49" s="1"/>
  <c r="V54" i="49" s="1"/>
  <c r="V44" i="49"/>
  <c r="V3" i="28"/>
  <c r="V3" i="49"/>
  <c r="V3" i="44"/>
  <c r="Q55" i="49"/>
  <c r="Q56" i="49" s="1"/>
  <c r="X32" i="44"/>
  <c r="X33" i="44" s="1"/>
  <c r="X64" i="44"/>
  <c r="X65" i="44" s="1"/>
  <c r="X72" i="49" s="1"/>
  <c r="X73" i="49" s="1"/>
  <c r="X47" i="44"/>
  <c r="X48" i="44" s="1"/>
  <c r="X42" i="44"/>
  <c r="X43" i="44" s="1"/>
  <c r="X23" i="44"/>
  <c r="X61" i="44"/>
  <c r="X62" i="44" s="1"/>
  <c r="X20" i="49" s="1"/>
  <c r="X21" i="49" s="1"/>
  <c r="X24" i="49" s="1"/>
  <c r="X2" i="28"/>
  <c r="X2" i="49"/>
  <c r="X2" i="44"/>
  <c r="Y15" i="44"/>
  <c r="Y18" i="44" s="1"/>
  <c r="Y19" i="44" s="1"/>
  <c r="W54" i="44"/>
  <c r="W49" i="49"/>
  <c r="W25" i="49"/>
  <c r="W34" i="49"/>
  <c r="W11" i="49"/>
  <c r="W12" i="49" s="1"/>
  <c r="S42" i="49"/>
  <c r="S45" i="49" s="1"/>
  <c r="R48" i="49"/>
  <c r="R50" i="49" s="1"/>
  <c r="R55" i="49" s="1"/>
  <c r="R56" i="49" s="1"/>
  <c r="V43" i="49"/>
  <c r="V15" i="49"/>
  <c r="V16" i="49" s="1"/>
  <c r="V53" i="49" s="1"/>
  <c r="U3" i="49"/>
  <c r="U3" i="44"/>
  <c r="U3" i="28"/>
  <c r="W26" i="49"/>
  <c r="W10" i="28"/>
  <c r="W15" i="28" s="1"/>
  <c r="X12" i="28" s="1"/>
  <c r="W53" i="44"/>
  <c r="W55" i="44" s="1"/>
  <c r="W40" i="49"/>
  <c r="W4" i="44" l="1"/>
  <c r="W4" i="49"/>
  <c r="X25" i="44"/>
  <c r="X4" i="28" s="1"/>
  <c r="W29" i="49"/>
  <c r="W30" i="49" s="1"/>
  <c r="W33" i="49" s="1"/>
  <c r="W35" i="49" s="1"/>
  <c r="W54" i="49" s="1"/>
  <c r="W44" i="49"/>
  <c r="W43" i="49"/>
  <c r="W15" i="49"/>
  <c r="W16" i="49" s="1"/>
  <c r="W53" i="49" s="1"/>
  <c r="X26" i="49"/>
  <c r="X54" i="44"/>
  <c r="X49" i="49"/>
  <c r="X25" i="49"/>
  <c r="X34" i="49"/>
  <c r="X11" i="49"/>
  <c r="X12" i="49" s="1"/>
  <c r="T42" i="49"/>
  <c r="T45" i="49" s="1"/>
  <c r="S48" i="49"/>
  <c r="S50" i="49" s="1"/>
  <c r="S55" i="49" s="1"/>
  <c r="S56" i="49" s="1"/>
  <c r="X4" i="49"/>
  <c r="X10" i="28"/>
  <c r="X15" i="28" s="1"/>
  <c r="Y12" i="28" s="1"/>
  <c r="X53" i="44"/>
  <c r="X55" i="44" s="1"/>
  <c r="X40" i="49"/>
  <c r="W3" i="49"/>
  <c r="W3" i="44"/>
  <c r="W3" i="28"/>
  <c r="Y32" i="44"/>
  <c r="Y33" i="44" s="1"/>
  <c r="Y64" i="44"/>
  <c r="Y65" i="44" s="1"/>
  <c r="Y72" i="49" s="1"/>
  <c r="Y73" i="49" s="1"/>
  <c r="Y47" i="44"/>
  <c r="Y48" i="44" s="1"/>
  <c r="Y42" i="44"/>
  <c r="Y43" i="44" s="1"/>
  <c r="Y61" i="44"/>
  <c r="Y62" i="44" s="1"/>
  <c r="Y20" i="49" s="1"/>
  <c r="Y21" i="49" s="1"/>
  <c r="Y24" i="49" s="1"/>
  <c r="Y23" i="44"/>
  <c r="Y2" i="28"/>
  <c r="Y2" i="49"/>
  <c r="Y2" i="44"/>
  <c r="Z15" i="44"/>
  <c r="Z18" i="44" s="1"/>
  <c r="Z19" i="44" s="1"/>
  <c r="Y25" i="44" l="1"/>
  <c r="Y4" i="44" s="1"/>
  <c r="X4" i="44"/>
  <c r="Y26" i="49"/>
  <c r="Y10" i="28"/>
  <c r="Y15" i="28" s="1"/>
  <c r="Z12" i="28" s="1"/>
  <c r="Y53" i="44"/>
  <c r="Y55" i="44" s="1"/>
  <c r="Y40" i="49"/>
  <c r="AA15" i="44"/>
  <c r="AA18" i="44" s="1"/>
  <c r="AA19" i="44" s="1"/>
  <c r="Z32" i="44"/>
  <c r="Z33" i="44" s="1"/>
  <c r="Z64" i="44"/>
  <c r="Z65" i="44" s="1"/>
  <c r="Z72" i="49" s="1"/>
  <c r="Z73" i="49" s="1"/>
  <c r="Z47" i="44"/>
  <c r="Z48" i="44" s="1"/>
  <c r="Z23" i="44"/>
  <c r="Z25" i="44" s="1"/>
  <c r="Z42" i="44"/>
  <c r="Z43" i="44" s="1"/>
  <c r="Z61" i="44"/>
  <c r="Z62" i="44" s="1"/>
  <c r="Z20" i="49" s="1"/>
  <c r="Z21" i="49" s="1"/>
  <c r="Z24" i="49" s="1"/>
  <c r="Z2" i="28"/>
  <c r="Z2" i="49"/>
  <c r="Z2" i="44"/>
  <c r="Y4" i="28"/>
  <c r="Y4" i="49"/>
  <c r="Y54" i="44"/>
  <c r="Y49" i="49"/>
  <c r="Y25" i="49"/>
  <c r="Y34" i="49"/>
  <c r="Y11" i="49"/>
  <c r="Y12" i="49" s="1"/>
  <c r="X3" i="28"/>
  <c r="X3" i="49"/>
  <c r="X3" i="44"/>
  <c r="U42" i="49"/>
  <c r="U45" i="49" s="1"/>
  <c r="T48" i="49"/>
  <c r="T50" i="49" s="1"/>
  <c r="T55" i="49" s="1"/>
  <c r="T56" i="49" s="1"/>
  <c r="X43" i="49"/>
  <c r="X15" i="49"/>
  <c r="X16" i="49" s="1"/>
  <c r="X53" i="49" s="1"/>
  <c r="X29" i="49"/>
  <c r="X30" i="49" s="1"/>
  <c r="X33" i="49" s="1"/>
  <c r="X35" i="49" s="1"/>
  <c r="X54" i="49" s="1"/>
  <c r="X44" i="49"/>
  <c r="Z26" i="49" l="1"/>
  <c r="V42" i="49"/>
  <c r="V45" i="49" s="1"/>
  <c r="U48" i="49"/>
  <c r="U50" i="49" s="1"/>
  <c r="U55" i="49" s="1"/>
  <c r="U56" i="49" s="1"/>
  <c r="Y43" i="49"/>
  <c r="Y15" i="49"/>
  <c r="Y16" i="49" s="1"/>
  <c r="Y53" i="49" s="1"/>
  <c r="Z54" i="44"/>
  <c r="Z49" i="49"/>
  <c r="Z25" i="49"/>
  <c r="Z34" i="49"/>
  <c r="Z11" i="49"/>
  <c r="Z12" i="49" s="1"/>
  <c r="Z10" i="28"/>
  <c r="Z15" i="28" s="1"/>
  <c r="AA12" i="28" s="1"/>
  <c r="Z53" i="44"/>
  <c r="Z55" i="44" s="1"/>
  <c r="Z40" i="49"/>
  <c r="Z4" i="28"/>
  <c r="Z4" i="49"/>
  <c r="Z4" i="44"/>
  <c r="AA32" i="44"/>
  <c r="AA33" i="44" s="1"/>
  <c r="AA64" i="44"/>
  <c r="AA65" i="44" s="1"/>
  <c r="AA72" i="49" s="1"/>
  <c r="AA73" i="49" s="1"/>
  <c r="AA47" i="44"/>
  <c r="AA48" i="44" s="1"/>
  <c r="AA42" i="44"/>
  <c r="AA43" i="44" s="1"/>
  <c r="AA61" i="44"/>
  <c r="AA62" i="44" s="1"/>
  <c r="AA20" i="49" s="1"/>
  <c r="AA21" i="49" s="1"/>
  <c r="AA24" i="49" s="1"/>
  <c r="AA23" i="44"/>
  <c r="AA25" i="44" s="1"/>
  <c r="AA2" i="28"/>
  <c r="AA2" i="49"/>
  <c r="AA2" i="44"/>
  <c r="AB15" i="44"/>
  <c r="AB18" i="44" s="1"/>
  <c r="AB19" i="44" s="1"/>
  <c r="Y3" i="49"/>
  <c r="Y3" i="44"/>
  <c r="Y3" i="28"/>
  <c r="Y29" i="49"/>
  <c r="Y30" i="49" s="1"/>
  <c r="Y33" i="49" s="1"/>
  <c r="Y35" i="49" s="1"/>
  <c r="Y54" i="49" s="1"/>
  <c r="Y44" i="49"/>
  <c r="AC15" i="44" l="1"/>
  <c r="AC18" i="44" s="1"/>
  <c r="AC19" i="44" s="1"/>
  <c r="AB32" i="44"/>
  <c r="AB33" i="44" s="1"/>
  <c r="AB64" i="44"/>
  <c r="AB65" i="44" s="1"/>
  <c r="AB72" i="49" s="1"/>
  <c r="AB73" i="49" s="1"/>
  <c r="AB47" i="44"/>
  <c r="AB48" i="44" s="1"/>
  <c r="AB42" i="44"/>
  <c r="AB43" i="44" s="1"/>
  <c r="AB23" i="44"/>
  <c r="AB25" i="44" s="1"/>
  <c r="AB61" i="44"/>
  <c r="AB62" i="44" s="1"/>
  <c r="AB20" i="49" s="1"/>
  <c r="AB21" i="49" s="1"/>
  <c r="AB24" i="49" s="1"/>
  <c r="AB2" i="28"/>
  <c r="AB2" i="49"/>
  <c r="AB2" i="44"/>
  <c r="AA4" i="28"/>
  <c r="AA4" i="44"/>
  <c r="AA4" i="49"/>
  <c r="AA54" i="44"/>
  <c r="AA49" i="49"/>
  <c r="AA25" i="49"/>
  <c r="AA26" i="49" s="1"/>
  <c r="AA34" i="49"/>
  <c r="AA11" i="49"/>
  <c r="AA12" i="49" s="1"/>
  <c r="Z3" i="28"/>
  <c r="Z3" i="49"/>
  <c r="Z3" i="44"/>
  <c r="Z43" i="49"/>
  <c r="Z15" i="49"/>
  <c r="Z16" i="49" s="1"/>
  <c r="Z53" i="49" s="1"/>
  <c r="W42" i="49"/>
  <c r="W45" i="49" s="1"/>
  <c r="V48" i="49"/>
  <c r="V50" i="49" s="1"/>
  <c r="V55" i="49" s="1"/>
  <c r="V56" i="49" s="1"/>
  <c r="AA10" i="28"/>
  <c r="AA15" i="28" s="1"/>
  <c r="AB12" i="28" s="1"/>
  <c r="AA53" i="44"/>
  <c r="AA55" i="44" s="1"/>
  <c r="AA40" i="49"/>
  <c r="Z29" i="49"/>
  <c r="Z30" i="49" s="1"/>
  <c r="Z33" i="49" s="1"/>
  <c r="Z35" i="49" s="1"/>
  <c r="Z54" i="49" s="1"/>
  <c r="Z44" i="49"/>
  <c r="AA29" i="49" l="1"/>
  <c r="AA30" i="49" s="1"/>
  <c r="AA33" i="49" s="1"/>
  <c r="AA35" i="49" s="1"/>
  <c r="AA54" i="49" s="1"/>
  <c r="AA44" i="49"/>
  <c r="AA3" i="49"/>
  <c r="AA3" i="44"/>
  <c r="AA3" i="28"/>
  <c r="AB26" i="49"/>
  <c r="AB54" i="44"/>
  <c r="AB49" i="49"/>
  <c r="AB25" i="49"/>
  <c r="AB34" i="49"/>
  <c r="AB11" i="49"/>
  <c r="AB12" i="49" s="1"/>
  <c r="AC32" i="44"/>
  <c r="AC33" i="44" s="1"/>
  <c r="AC64" i="44"/>
  <c r="AC65" i="44" s="1"/>
  <c r="AC72" i="49" s="1"/>
  <c r="AC73" i="49" s="1"/>
  <c r="AC47" i="44"/>
  <c r="AC48" i="44" s="1"/>
  <c r="AC42" i="44"/>
  <c r="AC43" i="44" s="1"/>
  <c r="AC61" i="44"/>
  <c r="AC62" i="44" s="1"/>
  <c r="AC20" i="49" s="1"/>
  <c r="AC21" i="49" s="1"/>
  <c r="AC24" i="49" s="1"/>
  <c r="AC23" i="44"/>
  <c r="AC25" i="44" s="1"/>
  <c r="AC2" i="28"/>
  <c r="AC2" i="49"/>
  <c r="AC2" i="44"/>
  <c r="AD15" i="44"/>
  <c r="AD18" i="44" s="1"/>
  <c r="AD19" i="44" s="1"/>
  <c r="X42" i="49"/>
  <c r="X45" i="49" s="1"/>
  <c r="W48" i="49"/>
  <c r="W50" i="49" s="1"/>
  <c r="W55" i="49" s="1"/>
  <c r="W56" i="49" s="1"/>
  <c r="AA43" i="49"/>
  <c r="AA15" i="49"/>
  <c r="AA16" i="49" s="1"/>
  <c r="AA53" i="49" s="1"/>
  <c r="AB4" i="28"/>
  <c r="AB4" i="49"/>
  <c r="AB4" i="44"/>
  <c r="AB10" i="28"/>
  <c r="AB15" i="28" s="1"/>
  <c r="AC12" i="28" s="1"/>
  <c r="AB53" i="44"/>
  <c r="AB55" i="44" s="1"/>
  <c r="AB40" i="49"/>
  <c r="AB3" i="28" l="1"/>
  <c r="AB3" i="49"/>
  <c r="AB3" i="44"/>
  <c r="Y42" i="49"/>
  <c r="Y45" i="49" s="1"/>
  <c r="X48" i="49"/>
  <c r="X50" i="49" s="1"/>
  <c r="X55" i="49" s="1"/>
  <c r="X56" i="49" s="1"/>
  <c r="AE15" i="44"/>
  <c r="AE18" i="44" s="1"/>
  <c r="AE19" i="44" s="1"/>
  <c r="AD32" i="44"/>
  <c r="AD33" i="44" s="1"/>
  <c r="AD64" i="44"/>
  <c r="AD65" i="44" s="1"/>
  <c r="AD72" i="49" s="1"/>
  <c r="AD73" i="49" s="1"/>
  <c r="AD47" i="44"/>
  <c r="AD48" i="44" s="1"/>
  <c r="AD23" i="44"/>
  <c r="AD25" i="44" s="1"/>
  <c r="AD42" i="44"/>
  <c r="AD43" i="44" s="1"/>
  <c r="AD61" i="44"/>
  <c r="AD62" i="44" s="1"/>
  <c r="AD20" i="49" s="1"/>
  <c r="AD21" i="49" s="1"/>
  <c r="AD24" i="49" s="1"/>
  <c r="AD2" i="28"/>
  <c r="AD2" i="49"/>
  <c r="AD2" i="44"/>
  <c r="AC4" i="28"/>
  <c r="AC4" i="44"/>
  <c r="AC4" i="49"/>
  <c r="AC54" i="44"/>
  <c r="AC49" i="49"/>
  <c r="AC25" i="49"/>
  <c r="AC26" i="49" s="1"/>
  <c r="AC34" i="49"/>
  <c r="AC11" i="49"/>
  <c r="AC12" i="49" s="1"/>
  <c r="AB43" i="49"/>
  <c r="AB15" i="49"/>
  <c r="AB16" i="49" s="1"/>
  <c r="AB53" i="49" s="1"/>
  <c r="AC10" i="28"/>
  <c r="AC15" i="28" s="1"/>
  <c r="AD12" i="28" s="1"/>
  <c r="AC53" i="44"/>
  <c r="AC40" i="49"/>
  <c r="AB29" i="49"/>
  <c r="AB30" i="49" s="1"/>
  <c r="AB33" i="49" s="1"/>
  <c r="AB35" i="49" s="1"/>
  <c r="AB54" i="49" s="1"/>
  <c r="AB44" i="49"/>
  <c r="AC29" i="49" l="1"/>
  <c r="AC30" i="49" s="1"/>
  <c r="AC33" i="49" s="1"/>
  <c r="AC35" i="49" s="1"/>
  <c r="AC54" i="49" s="1"/>
  <c r="AC44" i="49"/>
  <c r="AC55" i="44"/>
  <c r="AD4" i="28"/>
  <c r="AD4" i="49"/>
  <c r="AD4" i="44"/>
  <c r="AE32" i="44"/>
  <c r="AE33" i="44" s="1"/>
  <c r="AE64" i="44"/>
  <c r="AE65" i="44" s="1"/>
  <c r="AE72" i="49" s="1"/>
  <c r="AE73" i="49" s="1"/>
  <c r="AE47" i="44"/>
  <c r="AE48" i="44" s="1"/>
  <c r="AE42" i="44"/>
  <c r="AE43" i="44" s="1"/>
  <c r="AE61" i="44"/>
  <c r="AE62" i="44" s="1"/>
  <c r="AE20" i="49" s="1"/>
  <c r="AE21" i="49" s="1"/>
  <c r="AE24" i="49" s="1"/>
  <c r="AE23" i="44"/>
  <c r="AE25" i="44" s="1"/>
  <c r="AE2" i="28"/>
  <c r="AE2" i="49"/>
  <c r="AE2" i="44"/>
  <c r="AF15" i="44"/>
  <c r="AF18" i="44" s="1"/>
  <c r="AF19" i="44" s="1"/>
  <c r="Z42" i="49"/>
  <c r="Z45" i="49" s="1"/>
  <c r="Y48" i="49"/>
  <c r="Y50" i="49" s="1"/>
  <c r="Y55" i="49" s="1"/>
  <c r="Y56" i="49" s="1"/>
  <c r="AC43" i="49"/>
  <c r="AC15" i="49"/>
  <c r="AC16" i="49" s="1"/>
  <c r="AC53" i="49" s="1"/>
  <c r="AD54" i="44"/>
  <c r="AD49" i="49"/>
  <c r="AD25" i="49"/>
  <c r="AD26" i="49" s="1"/>
  <c r="AD34" i="49"/>
  <c r="AD11" i="49"/>
  <c r="AD12" i="49" s="1"/>
  <c r="AD10" i="28"/>
  <c r="AD15" i="28" s="1"/>
  <c r="AE12" i="28" s="1"/>
  <c r="AD53" i="44"/>
  <c r="AD55" i="44" s="1"/>
  <c r="AD40" i="49"/>
  <c r="AD29" i="49" l="1"/>
  <c r="AD30" i="49" s="1"/>
  <c r="AD33" i="49" s="1"/>
  <c r="AD35" i="49" s="1"/>
  <c r="AD54" i="49" s="1"/>
  <c r="AD44" i="49"/>
  <c r="AD3" i="28"/>
  <c r="AD3" i="49"/>
  <c r="AD3" i="44"/>
  <c r="AD43" i="49"/>
  <c r="AD15" i="49"/>
  <c r="AD16" i="49" s="1"/>
  <c r="AD53" i="49" s="1"/>
  <c r="AG15" i="44"/>
  <c r="AG18" i="44" s="1"/>
  <c r="AG19" i="44" s="1"/>
  <c r="AF32" i="44"/>
  <c r="AF33" i="44" s="1"/>
  <c r="AF64" i="44"/>
  <c r="AF65" i="44" s="1"/>
  <c r="AF72" i="49" s="1"/>
  <c r="AF73" i="49" s="1"/>
  <c r="AF47" i="44"/>
  <c r="AF48" i="44" s="1"/>
  <c r="AF42" i="44"/>
  <c r="AF43" i="44" s="1"/>
  <c r="AF23" i="44"/>
  <c r="AF25" i="44" s="1"/>
  <c r="AF61" i="44"/>
  <c r="AF62" i="44" s="1"/>
  <c r="AF20" i="49" s="1"/>
  <c r="AF21" i="49" s="1"/>
  <c r="AF24" i="49" s="1"/>
  <c r="AF2" i="28"/>
  <c r="AF2" i="49"/>
  <c r="AF2" i="44"/>
  <c r="AE4" i="28"/>
  <c r="AE4" i="44"/>
  <c r="AE4" i="49"/>
  <c r="AE54" i="44"/>
  <c r="AE49" i="49"/>
  <c r="AE25" i="49"/>
  <c r="AE34" i="49"/>
  <c r="AE11" i="49"/>
  <c r="AE12" i="49" s="1"/>
  <c r="AC3" i="49"/>
  <c r="AC3" i="44"/>
  <c r="AC3" i="28"/>
  <c r="AA42" i="49"/>
  <c r="AA45" i="49" s="1"/>
  <c r="Z48" i="49"/>
  <c r="Z50" i="49" s="1"/>
  <c r="Z55" i="49" s="1"/>
  <c r="Z56" i="49" s="1"/>
  <c r="AE26" i="49"/>
  <c r="AE10" i="28"/>
  <c r="AE15" i="28" s="1"/>
  <c r="AF12" i="28" s="1"/>
  <c r="AE53" i="44"/>
  <c r="AE55" i="44" s="1"/>
  <c r="AE40" i="49"/>
  <c r="AE29" i="49" l="1"/>
  <c r="AE30" i="49" s="1"/>
  <c r="AE33" i="49" s="1"/>
  <c r="AE35" i="49" s="1"/>
  <c r="AE54" i="49" s="1"/>
  <c r="AE44" i="49"/>
  <c r="AE43" i="49"/>
  <c r="AE15" i="49"/>
  <c r="AE16" i="49" s="1"/>
  <c r="AE53" i="49" s="1"/>
  <c r="AF4" i="28"/>
  <c r="AF4" i="49"/>
  <c r="AF4" i="44"/>
  <c r="AF10" i="28"/>
  <c r="AF15" i="28" s="1"/>
  <c r="AG12" i="28" s="1"/>
  <c r="AF53" i="44"/>
  <c r="AF40" i="49"/>
  <c r="AE3" i="49"/>
  <c r="AE3" i="44"/>
  <c r="AE3" i="28"/>
  <c r="AB42" i="49"/>
  <c r="AB45" i="49" s="1"/>
  <c r="AA48" i="49"/>
  <c r="AA50" i="49" s="1"/>
  <c r="AA55" i="49" s="1"/>
  <c r="AA56" i="49" s="1"/>
  <c r="AF54" i="44"/>
  <c r="AF49" i="49"/>
  <c r="AF25" i="49"/>
  <c r="AF26" i="49" s="1"/>
  <c r="AF34" i="49"/>
  <c r="AF11" i="49"/>
  <c r="AF12" i="49" s="1"/>
  <c r="AG32" i="44"/>
  <c r="AG33" i="44" s="1"/>
  <c r="AG64" i="44"/>
  <c r="AG65" i="44" s="1"/>
  <c r="AG72" i="49" s="1"/>
  <c r="AG73" i="49" s="1"/>
  <c r="AG47" i="44"/>
  <c r="AG48" i="44" s="1"/>
  <c r="AG42" i="44"/>
  <c r="AG43" i="44" s="1"/>
  <c r="AG23" i="44"/>
  <c r="AG25" i="44" s="1"/>
  <c r="AG61" i="44"/>
  <c r="AG62" i="44" s="1"/>
  <c r="AG20" i="49" s="1"/>
  <c r="AG21" i="49" s="1"/>
  <c r="AG24" i="49" s="1"/>
  <c r="AG2" i="28"/>
  <c r="AG2" i="49"/>
  <c r="AG2" i="44"/>
  <c r="AH15" i="44"/>
  <c r="AH18" i="44" s="1"/>
  <c r="AH19" i="44" s="1"/>
  <c r="AF29" i="49" l="1"/>
  <c r="AF30" i="49" s="1"/>
  <c r="AF33" i="49" s="1"/>
  <c r="AF35" i="49" s="1"/>
  <c r="AF54" i="49" s="1"/>
  <c r="AF44" i="49"/>
  <c r="AC42" i="49"/>
  <c r="AC45" i="49" s="1"/>
  <c r="AB48" i="49"/>
  <c r="AB50" i="49" s="1"/>
  <c r="AB55" i="49" s="1"/>
  <c r="AB56" i="49" s="1"/>
  <c r="AG4" i="28"/>
  <c r="AG4" i="44"/>
  <c r="AG4" i="49"/>
  <c r="AG10" i="28"/>
  <c r="AG15" i="28" s="1"/>
  <c r="AH12" i="28" s="1"/>
  <c r="AG53" i="44"/>
  <c r="AG40" i="49"/>
  <c r="AI15" i="44"/>
  <c r="AI18" i="44" s="1"/>
  <c r="AI19" i="44" s="1"/>
  <c r="AH32" i="44"/>
  <c r="AH33" i="44" s="1"/>
  <c r="AH64" i="44"/>
  <c r="AH65" i="44" s="1"/>
  <c r="AH72" i="49" s="1"/>
  <c r="AH73" i="49" s="1"/>
  <c r="AH47" i="44"/>
  <c r="AH48" i="44" s="1"/>
  <c r="AH61" i="44"/>
  <c r="AH62" i="44" s="1"/>
  <c r="AH20" i="49" s="1"/>
  <c r="AH21" i="49" s="1"/>
  <c r="AH24" i="49" s="1"/>
  <c r="AH23" i="44"/>
  <c r="AH25" i="44" s="1"/>
  <c r="AH42" i="44"/>
  <c r="AH43" i="44" s="1"/>
  <c r="AH2" i="28"/>
  <c r="AH2" i="49"/>
  <c r="AH2" i="44"/>
  <c r="AG54" i="44"/>
  <c r="AG49" i="49"/>
  <c r="AG25" i="49"/>
  <c r="AG26" i="49" s="1"/>
  <c r="AG34" i="49"/>
  <c r="AG11" i="49"/>
  <c r="AG12" i="49" s="1"/>
  <c r="AF43" i="49"/>
  <c r="AF15" i="49"/>
  <c r="AF16" i="49" s="1"/>
  <c r="AF53" i="49" s="1"/>
  <c r="AF55" i="44"/>
  <c r="AG29" i="49" l="1"/>
  <c r="AG30" i="49" s="1"/>
  <c r="AG33" i="49" s="1"/>
  <c r="AG35" i="49" s="1"/>
  <c r="AG54" i="49" s="1"/>
  <c r="AG44" i="49"/>
  <c r="AF3" i="28"/>
  <c r="AF3" i="49"/>
  <c r="AF3" i="44"/>
  <c r="AH4" i="28"/>
  <c r="AH4" i="49"/>
  <c r="AH4" i="44"/>
  <c r="AH10" i="28"/>
  <c r="AH15" i="28" s="1"/>
  <c r="AI12" i="28" s="1"/>
  <c r="AH53" i="44"/>
  <c r="AH40" i="49"/>
  <c r="AG43" i="49"/>
  <c r="AG15" i="49"/>
  <c r="AG16" i="49" s="1"/>
  <c r="AG53" i="49" s="1"/>
  <c r="AH54" i="44"/>
  <c r="AH49" i="49"/>
  <c r="AH25" i="49"/>
  <c r="AH34" i="49"/>
  <c r="AH11" i="49"/>
  <c r="AH12" i="49" s="1"/>
  <c r="AH26" i="49"/>
  <c r="AI32" i="44"/>
  <c r="AI33" i="44" s="1"/>
  <c r="AI64" i="44"/>
  <c r="AI65" i="44" s="1"/>
  <c r="AI72" i="49" s="1"/>
  <c r="AI73" i="49" s="1"/>
  <c r="AI47" i="44"/>
  <c r="AI48" i="44" s="1"/>
  <c r="AI42" i="44"/>
  <c r="AI43" i="44" s="1"/>
  <c r="AI61" i="44"/>
  <c r="AI62" i="44" s="1"/>
  <c r="AI20" i="49" s="1"/>
  <c r="AI21" i="49" s="1"/>
  <c r="AI24" i="49" s="1"/>
  <c r="AI23" i="44"/>
  <c r="AI25" i="44" s="1"/>
  <c r="AI2" i="28"/>
  <c r="AI2" i="49"/>
  <c r="AI2" i="44"/>
  <c r="AJ15" i="44"/>
  <c r="AJ18" i="44" s="1"/>
  <c r="AJ19" i="44" s="1"/>
  <c r="AG55" i="44"/>
  <c r="AD42" i="49"/>
  <c r="AD45" i="49" s="1"/>
  <c r="AC48" i="49"/>
  <c r="AC50" i="49" s="1"/>
  <c r="AC55" i="49" s="1"/>
  <c r="AC56" i="49" s="1"/>
  <c r="AE42" i="49" l="1"/>
  <c r="AE45" i="49" s="1"/>
  <c r="AD48" i="49"/>
  <c r="AD50" i="49" s="1"/>
  <c r="AD55" i="49" s="1"/>
  <c r="AD56" i="49" s="1"/>
  <c r="AI4" i="28"/>
  <c r="AI4" i="44"/>
  <c r="AI4" i="49"/>
  <c r="AI54" i="44"/>
  <c r="AI49" i="49"/>
  <c r="AI25" i="49"/>
  <c r="AI34" i="49"/>
  <c r="AI11" i="49"/>
  <c r="AI12" i="49" s="1"/>
  <c r="AH29" i="49"/>
  <c r="AH30" i="49" s="1"/>
  <c r="AH33" i="49" s="1"/>
  <c r="AH35" i="49" s="1"/>
  <c r="AH54" i="49" s="1"/>
  <c r="AH44" i="49"/>
  <c r="AG3" i="49"/>
  <c r="AG3" i="44"/>
  <c r="AG3" i="28"/>
  <c r="AI26" i="49"/>
  <c r="AI10" i="28"/>
  <c r="AI15" i="28" s="1"/>
  <c r="AJ12" i="28" s="1"/>
  <c r="AI53" i="44"/>
  <c r="AI55" i="44" s="1"/>
  <c r="AI40" i="49"/>
  <c r="AH43" i="49"/>
  <c r="AH15" i="49"/>
  <c r="AH16" i="49" s="1"/>
  <c r="AH53" i="49" s="1"/>
  <c r="AH55" i="44"/>
  <c r="AK15" i="44"/>
  <c r="AK18" i="44" s="1"/>
  <c r="AK19" i="44" s="1"/>
  <c r="AJ32" i="44"/>
  <c r="AJ33" i="44" s="1"/>
  <c r="AJ64" i="44"/>
  <c r="AJ65" i="44" s="1"/>
  <c r="AJ72" i="49" s="1"/>
  <c r="AJ73" i="49" s="1"/>
  <c r="AJ47" i="44"/>
  <c r="AJ48" i="44" s="1"/>
  <c r="AJ61" i="44"/>
  <c r="AJ62" i="44" s="1"/>
  <c r="AJ20" i="49" s="1"/>
  <c r="AJ21" i="49" s="1"/>
  <c r="AJ24" i="49" s="1"/>
  <c r="AJ42" i="44"/>
  <c r="AJ43" i="44" s="1"/>
  <c r="AJ23" i="44"/>
  <c r="AJ25" i="44" s="1"/>
  <c r="AJ2" i="28"/>
  <c r="AJ2" i="49"/>
  <c r="AJ2" i="44"/>
  <c r="AJ4" i="28" l="1"/>
  <c r="AJ4" i="49"/>
  <c r="AJ4" i="44"/>
  <c r="AK32" i="44"/>
  <c r="AK33" i="44" s="1"/>
  <c r="AK64" i="44"/>
  <c r="AK65" i="44" s="1"/>
  <c r="AK72" i="49" s="1"/>
  <c r="AK73" i="49" s="1"/>
  <c r="AK47" i="44"/>
  <c r="AK48" i="44" s="1"/>
  <c r="AK42" i="44"/>
  <c r="AK43" i="44" s="1"/>
  <c r="AK23" i="44"/>
  <c r="AK25" i="44" s="1"/>
  <c r="AK61" i="44"/>
  <c r="AK62" i="44" s="1"/>
  <c r="AK20" i="49" s="1"/>
  <c r="AK21" i="49" s="1"/>
  <c r="AK24" i="49" s="1"/>
  <c r="AK2" i="28"/>
  <c r="AK2" i="49"/>
  <c r="AK2" i="44"/>
  <c r="AL15" i="44"/>
  <c r="AL18" i="44" s="1"/>
  <c r="AL19" i="44" s="1"/>
  <c r="AI43" i="49"/>
  <c r="AI15" i="49"/>
  <c r="AI16" i="49" s="1"/>
  <c r="AI53" i="49" s="1"/>
  <c r="AJ54" i="44"/>
  <c r="AJ49" i="49"/>
  <c r="AJ25" i="49"/>
  <c r="AJ26" i="49" s="1"/>
  <c r="AJ34" i="49"/>
  <c r="AJ11" i="49"/>
  <c r="AJ12" i="49" s="1"/>
  <c r="AJ10" i="28"/>
  <c r="AJ15" i="28" s="1"/>
  <c r="AK12" i="28" s="1"/>
  <c r="AJ53" i="44"/>
  <c r="AJ55" i="44" s="1"/>
  <c r="AJ40" i="49"/>
  <c r="AH3" i="28"/>
  <c r="AH3" i="49"/>
  <c r="AH3" i="44"/>
  <c r="AI3" i="49"/>
  <c r="AI3" i="44"/>
  <c r="AI3" i="28"/>
  <c r="AI29" i="49"/>
  <c r="AI30" i="49" s="1"/>
  <c r="AI33" i="49" s="1"/>
  <c r="AI35" i="49" s="1"/>
  <c r="AI54" i="49" s="1"/>
  <c r="AI44" i="49"/>
  <c r="AF42" i="49"/>
  <c r="AF45" i="49" s="1"/>
  <c r="AE48" i="49"/>
  <c r="AE50" i="49" s="1"/>
  <c r="AE55" i="49" s="1"/>
  <c r="AE56" i="49" s="1"/>
  <c r="AJ29" i="49" l="1"/>
  <c r="AJ30" i="49" s="1"/>
  <c r="AJ33" i="49" s="1"/>
  <c r="AJ35" i="49" s="1"/>
  <c r="AJ54" i="49" s="1"/>
  <c r="AJ44" i="49"/>
  <c r="AM15" i="44"/>
  <c r="AM18" i="44" s="1"/>
  <c r="AM19" i="44" s="1"/>
  <c r="AL32" i="44"/>
  <c r="AL33" i="44" s="1"/>
  <c r="AL64" i="44"/>
  <c r="AL65" i="44" s="1"/>
  <c r="AL72" i="49" s="1"/>
  <c r="AL73" i="49" s="1"/>
  <c r="AL47" i="44"/>
  <c r="AL48" i="44" s="1"/>
  <c r="AL61" i="44"/>
  <c r="AL62" i="44" s="1"/>
  <c r="AL20" i="49" s="1"/>
  <c r="AL21" i="49" s="1"/>
  <c r="AL24" i="49" s="1"/>
  <c r="AL23" i="44"/>
  <c r="AL25" i="44" s="1"/>
  <c r="AL42" i="44"/>
  <c r="AL43" i="44" s="1"/>
  <c r="AL2" i="28"/>
  <c r="AL2" i="49"/>
  <c r="AL2" i="44"/>
  <c r="AK26" i="49"/>
  <c r="AK54" i="44"/>
  <c r="AK49" i="49"/>
  <c r="AK25" i="49"/>
  <c r="AK34" i="49"/>
  <c r="AK11" i="49"/>
  <c r="AK12" i="49" s="1"/>
  <c r="AG42" i="49"/>
  <c r="AG45" i="49" s="1"/>
  <c r="AF48" i="49"/>
  <c r="AF50" i="49" s="1"/>
  <c r="AF55" i="49" s="1"/>
  <c r="AF56" i="49" s="1"/>
  <c r="AJ3" i="28"/>
  <c r="AJ3" i="49"/>
  <c r="AJ3" i="44"/>
  <c r="AJ43" i="49"/>
  <c r="AJ15" i="49"/>
  <c r="AJ16" i="49" s="1"/>
  <c r="AJ53" i="49" s="1"/>
  <c r="AK4" i="28"/>
  <c r="AK4" i="44"/>
  <c r="AK4" i="49"/>
  <c r="AK10" i="28"/>
  <c r="AK15" i="28" s="1"/>
  <c r="AL12" i="28" s="1"/>
  <c r="AK53" i="44"/>
  <c r="AK55" i="44" s="1"/>
  <c r="AK40" i="49"/>
  <c r="AH42" i="49" l="1"/>
  <c r="AH45" i="49" s="1"/>
  <c r="AG48" i="49"/>
  <c r="AG50" i="49" s="1"/>
  <c r="AG55" i="49" s="1"/>
  <c r="AG56" i="49" s="1"/>
  <c r="AK29" i="49"/>
  <c r="AK30" i="49" s="1"/>
  <c r="AK33" i="49" s="1"/>
  <c r="AK35" i="49" s="1"/>
  <c r="AK54" i="49" s="1"/>
  <c r="AK44" i="49"/>
  <c r="AK3" i="49"/>
  <c r="AK3" i="44"/>
  <c r="AK3" i="28"/>
  <c r="AK43" i="49"/>
  <c r="AK15" i="49"/>
  <c r="AK16" i="49" s="1"/>
  <c r="AK53" i="49" s="1"/>
  <c r="AL4" i="28"/>
  <c r="AL4" i="49"/>
  <c r="AL4" i="44"/>
  <c r="AL10" i="28"/>
  <c r="AL15" i="28" s="1"/>
  <c r="AM12" i="28" s="1"/>
  <c r="AL53" i="44"/>
  <c r="AL40" i="49"/>
  <c r="AL54" i="44"/>
  <c r="AL49" i="49"/>
  <c r="AL25" i="49"/>
  <c r="AL26" i="49" s="1"/>
  <c r="AL34" i="49"/>
  <c r="AL11" i="49"/>
  <c r="AL12" i="49" s="1"/>
  <c r="AM32" i="44"/>
  <c r="AM33" i="44" s="1"/>
  <c r="AM64" i="44"/>
  <c r="AM65" i="44" s="1"/>
  <c r="AM72" i="49" s="1"/>
  <c r="AM73" i="49" s="1"/>
  <c r="AM47" i="44"/>
  <c r="AM48" i="44" s="1"/>
  <c r="AM42" i="44"/>
  <c r="AM43" i="44" s="1"/>
  <c r="AM61" i="44"/>
  <c r="AM62" i="44" s="1"/>
  <c r="AM20" i="49" s="1"/>
  <c r="AM21" i="49" s="1"/>
  <c r="AM24" i="49" s="1"/>
  <c r="AM23" i="44"/>
  <c r="AM25" i="44" s="1"/>
  <c r="AM2" i="28"/>
  <c r="AM2" i="49"/>
  <c r="AM2" i="44"/>
  <c r="AN15" i="44"/>
  <c r="AN18" i="44" s="1"/>
  <c r="AN19" i="44" s="1"/>
  <c r="AL29" i="49" l="1"/>
  <c r="AL30" i="49" s="1"/>
  <c r="AL33" i="49" s="1"/>
  <c r="AL35" i="49" s="1"/>
  <c r="AL54" i="49" s="1"/>
  <c r="AL44" i="49"/>
  <c r="AM4" i="28"/>
  <c r="AM4" i="44"/>
  <c r="AM4" i="49"/>
  <c r="AM54" i="44"/>
  <c r="AM49" i="49"/>
  <c r="AM25" i="49"/>
  <c r="AM34" i="49"/>
  <c r="AM11" i="49"/>
  <c r="AM12" i="49" s="1"/>
  <c r="AL43" i="49"/>
  <c r="AL15" i="49"/>
  <c r="AL16" i="49" s="1"/>
  <c r="AL53" i="49" s="1"/>
  <c r="AL55" i="44"/>
  <c r="AM26" i="49"/>
  <c r="AM10" i="28"/>
  <c r="AM15" i="28" s="1"/>
  <c r="AN12" i="28" s="1"/>
  <c r="AM53" i="44"/>
  <c r="AM55" i="44" s="1"/>
  <c r="AM40" i="49"/>
  <c r="AO15" i="44"/>
  <c r="AO18" i="44" s="1"/>
  <c r="AO19" i="44" s="1"/>
  <c r="AN32" i="44"/>
  <c r="AN33" i="44" s="1"/>
  <c r="AN64" i="44"/>
  <c r="AN65" i="44" s="1"/>
  <c r="AN72" i="49" s="1"/>
  <c r="AN73" i="49" s="1"/>
  <c r="AN47" i="44"/>
  <c r="AN48" i="44" s="1"/>
  <c r="AN61" i="44"/>
  <c r="AN62" i="44" s="1"/>
  <c r="AN20" i="49" s="1"/>
  <c r="AN21" i="49" s="1"/>
  <c r="AN24" i="49" s="1"/>
  <c r="AN42" i="44"/>
  <c r="AN43" i="44" s="1"/>
  <c r="AN23" i="44"/>
  <c r="AN25" i="44" s="1"/>
  <c r="AN2" i="28"/>
  <c r="AN2" i="49"/>
  <c r="AN2" i="44"/>
  <c r="AI42" i="49"/>
  <c r="AI45" i="49" s="1"/>
  <c r="AH48" i="49"/>
  <c r="AH50" i="49" s="1"/>
  <c r="AH55" i="49" s="1"/>
  <c r="AH56" i="49" s="1"/>
  <c r="AJ42" i="49" l="1"/>
  <c r="AJ45" i="49" s="1"/>
  <c r="AI48" i="49"/>
  <c r="AI50" i="49" s="1"/>
  <c r="AI55" i="49" s="1"/>
  <c r="AI56" i="49" s="1"/>
  <c r="AN4" i="28"/>
  <c r="AN4" i="49"/>
  <c r="AN4" i="44"/>
  <c r="AN26" i="49"/>
  <c r="AO32" i="44"/>
  <c r="AO33" i="44" s="1"/>
  <c r="AO64" i="44"/>
  <c r="AO65" i="44" s="1"/>
  <c r="AO72" i="49" s="1"/>
  <c r="AO73" i="49" s="1"/>
  <c r="AO47" i="44"/>
  <c r="AO48" i="44" s="1"/>
  <c r="AO42" i="44"/>
  <c r="AO43" i="44" s="1"/>
  <c r="AO23" i="44"/>
  <c r="AO25" i="44" s="1"/>
  <c r="AO61" i="44"/>
  <c r="AO62" i="44" s="1"/>
  <c r="AO20" i="49" s="1"/>
  <c r="AO21" i="49" s="1"/>
  <c r="AO24" i="49" s="1"/>
  <c r="AO2" i="28"/>
  <c r="AO2" i="49"/>
  <c r="AO2" i="44"/>
  <c r="AP15" i="44"/>
  <c r="AP18" i="44" s="1"/>
  <c r="AP19" i="44" s="1"/>
  <c r="AM3" i="49"/>
  <c r="AM3" i="44"/>
  <c r="AM3" i="28"/>
  <c r="AM29" i="49"/>
  <c r="AM30" i="49" s="1"/>
  <c r="AM33" i="49" s="1"/>
  <c r="AM35" i="49" s="1"/>
  <c r="AM54" i="49" s="1"/>
  <c r="AM44" i="49"/>
  <c r="AM43" i="49"/>
  <c r="AM15" i="49"/>
  <c r="AM16" i="49" s="1"/>
  <c r="AM53" i="49" s="1"/>
  <c r="AN54" i="44"/>
  <c r="AN49" i="49"/>
  <c r="AN25" i="49"/>
  <c r="AN34" i="49"/>
  <c r="AN11" i="49"/>
  <c r="AN12" i="49" s="1"/>
  <c r="AN10" i="28"/>
  <c r="AN15" i="28" s="1"/>
  <c r="AO12" i="28" s="1"/>
  <c r="AN53" i="44"/>
  <c r="AN55" i="44" s="1"/>
  <c r="AN40" i="49"/>
  <c r="AL3" i="28"/>
  <c r="AL3" i="49"/>
  <c r="AL3" i="44"/>
  <c r="AQ15" i="44" l="1"/>
  <c r="AQ18" i="44" s="1"/>
  <c r="AQ19" i="44" s="1"/>
  <c r="AP32" i="44"/>
  <c r="AP33" i="44" s="1"/>
  <c r="AP42" i="44"/>
  <c r="AP43" i="44" s="1"/>
  <c r="AP64" i="44"/>
  <c r="AP65" i="44" s="1"/>
  <c r="AP72" i="49" s="1"/>
  <c r="AP73" i="49" s="1"/>
  <c r="AP47" i="44"/>
  <c r="AP48" i="44" s="1"/>
  <c r="AP61" i="44"/>
  <c r="AP62" i="44" s="1"/>
  <c r="AP20" i="49" s="1"/>
  <c r="AP21" i="49" s="1"/>
  <c r="AP24" i="49" s="1"/>
  <c r="AP23" i="44"/>
  <c r="AP25" i="44" s="1"/>
  <c r="AP2" i="28"/>
  <c r="AP2" i="49"/>
  <c r="AP2" i="44"/>
  <c r="AO54" i="44"/>
  <c r="AO49" i="49"/>
  <c r="AO25" i="49"/>
  <c r="AO26" i="49" s="1"/>
  <c r="AO34" i="49"/>
  <c r="AO11" i="49"/>
  <c r="AO12" i="49" s="1"/>
  <c r="AN29" i="49"/>
  <c r="AN30" i="49" s="1"/>
  <c r="AN33" i="49" s="1"/>
  <c r="AN35" i="49" s="1"/>
  <c r="AN54" i="49" s="1"/>
  <c r="AN44" i="49"/>
  <c r="AN3" i="28"/>
  <c r="AN3" i="49"/>
  <c r="AN3" i="44"/>
  <c r="AN43" i="49"/>
  <c r="AN15" i="49"/>
  <c r="AN16" i="49" s="1"/>
  <c r="AN53" i="49" s="1"/>
  <c r="AO4" i="28"/>
  <c r="AO4" i="44"/>
  <c r="AO4" i="49"/>
  <c r="AO10" i="28"/>
  <c r="AO15" i="28" s="1"/>
  <c r="AP12" i="28" s="1"/>
  <c r="AO53" i="44"/>
  <c r="AO55" i="44" s="1"/>
  <c r="AO40" i="49"/>
  <c r="AK42" i="49"/>
  <c r="AK45" i="49" s="1"/>
  <c r="AJ48" i="49"/>
  <c r="AJ50" i="49" s="1"/>
  <c r="AJ55" i="49" s="1"/>
  <c r="AJ56" i="49" s="1"/>
  <c r="AO29" i="49" l="1"/>
  <c r="AO30" i="49" s="1"/>
  <c r="AO33" i="49" s="1"/>
  <c r="AO35" i="49" s="1"/>
  <c r="AO54" i="49" s="1"/>
  <c r="AO44" i="49"/>
  <c r="AL42" i="49"/>
  <c r="AL45" i="49" s="1"/>
  <c r="AK48" i="49"/>
  <c r="AK50" i="49" s="1"/>
  <c r="AK55" i="49" s="1"/>
  <c r="AK56" i="49" s="1"/>
  <c r="AO3" i="49"/>
  <c r="AO3" i="44"/>
  <c r="AO3" i="28"/>
  <c r="AO43" i="49"/>
  <c r="AO15" i="49"/>
  <c r="AO16" i="49" s="1"/>
  <c r="AO53" i="49" s="1"/>
  <c r="AP10" i="28"/>
  <c r="AP15" i="28" s="1"/>
  <c r="AQ12" i="28" s="1"/>
  <c r="AP53" i="44"/>
  <c r="AP40" i="49"/>
  <c r="AP4" i="28"/>
  <c r="AP4" i="49"/>
  <c r="AP4" i="44"/>
  <c r="AP54" i="44"/>
  <c r="AP49" i="49"/>
  <c r="AP25" i="49"/>
  <c r="AP26" i="49" s="1"/>
  <c r="AP34" i="49"/>
  <c r="AP11" i="49"/>
  <c r="AP12" i="49" s="1"/>
  <c r="AQ32" i="44"/>
  <c r="AQ33" i="44" s="1"/>
  <c r="AQ64" i="44"/>
  <c r="AQ65" i="44" s="1"/>
  <c r="AQ72" i="49" s="1"/>
  <c r="AQ73" i="49" s="1"/>
  <c r="AQ47" i="44"/>
  <c r="AQ48" i="44" s="1"/>
  <c r="AQ42" i="44"/>
  <c r="AQ43" i="44" s="1"/>
  <c r="AQ61" i="44"/>
  <c r="AQ62" i="44" s="1"/>
  <c r="AQ20" i="49" s="1"/>
  <c r="AQ21" i="49" s="1"/>
  <c r="AQ24" i="49" s="1"/>
  <c r="AQ23" i="44"/>
  <c r="AQ25" i="44" s="1"/>
  <c r="AQ2" i="28"/>
  <c r="AQ2" i="49"/>
  <c r="AQ2" i="44"/>
  <c r="AR15" i="44"/>
  <c r="AR18" i="44" s="1"/>
  <c r="AR19" i="44" s="1"/>
  <c r="AP29" i="49" l="1"/>
  <c r="AP30" i="49" s="1"/>
  <c r="AP33" i="49" s="1"/>
  <c r="AP35" i="49" s="1"/>
  <c r="AP54" i="49" s="1"/>
  <c r="AP44" i="49"/>
  <c r="AR32" i="44"/>
  <c r="AR33" i="44" s="1"/>
  <c r="AS15" i="44"/>
  <c r="AS18" i="44" s="1"/>
  <c r="AS19" i="44" s="1"/>
  <c r="AR42" i="44"/>
  <c r="AR43" i="44" s="1"/>
  <c r="AR64" i="44"/>
  <c r="AR65" i="44" s="1"/>
  <c r="AR72" i="49" s="1"/>
  <c r="AR73" i="49" s="1"/>
  <c r="AR47" i="44"/>
  <c r="AR48" i="44" s="1"/>
  <c r="AR61" i="44"/>
  <c r="AR62" i="44" s="1"/>
  <c r="AR20" i="49" s="1"/>
  <c r="AR21" i="49" s="1"/>
  <c r="AR24" i="49" s="1"/>
  <c r="AR23" i="44"/>
  <c r="AR25" i="44" s="1"/>
  <c r="AR2" i="28"/>
  <c r="AR2" i="49"/>
  <c r="AR2" i="44"/>
  <c r="AQ4" i="28"/>
  <c r="AQ4" i="44"/>
  <c r="AQ4" i="49"/>
  <c r="AQ54" i="44"/>
  <c r="AQ49" i="49"/>
  <c r="AQ25" i="49"/>
  <c r="AQ34" i="49"/>
  <c r="AQ11" i="49"/>
  <c r="AQ12" i="49" s="1"/>
  <c r="AP43" i="49"/>
  <c r="AP15" i="49"/>
  <c r="AP16" i="49" s="1"/>
  <c r="AP53" i="49" s="1"/>
  <c r="AM42" i="49"/>
  <c r="AM45" i="49" s="1"/>
  <c r="AL48" i="49"/>
  <c r="AL50" i="49" s="1"/>
  <c r="AL55" i="49" s="1"/>
  <c r="AL56" i="49" s="1"/>
  <c r="AQ26" i="49"/>
  <c r="AQ10" i="28"/>
  <c r="AQ15" i="28" s="1"/>
  <c r="AR12" i="28" s="1"/>
  <c r="AQ53" i="44"/>
  <c r="AQ55" i="44" s="1"/>
  <c r="AQ40" i="49"/>
  <c r="AP55" i="44"/>
  <c r="AP3" i="28" l="1"/>
  <c r="AP3" i="49"/>
  <c r="AP3" i="44"/>
  <c r="AQ43" i="49"/>
  <c r="AQ15" i="49"/>
  <c r="AQ16" i="49" s="1"/>
  <c r="AQ53" i="49" s="1"/>
  <c r="AS32" i="44"/>
  <c r="AS33" i="44" s="1"/>
  <c r="AS64" i="44"/>
  <c r="AS65" i="44" s="1"/>
  <c r="AS72" i="49" s="1"/>
  <c r="AS73" i="49" s="1"/>
  <c r="AS47" i="44"/>
  <c r="AS48" i="44" s="1"/>
  <c r="AS42" i="44"/>
  <c r="AS43" i="44" s="1"/>
  <c r="AS23" i="44"/>
  <c r="AS25" i="44" s="1"/>
  <c r="AS61" i="44"/>
  <c r="AS62" i="44" s="1"/>
  <c r="AS20" i="49" s="1"/>
  <c r="AS21" i="49" s="1"/>
  <c r="AS24" i="49" s="1"/>
  <c r="AS2" i="28"/>
  <c r="AS2" i="49"/>
  <c r="AS2" i="44"/>
  <c r="AT15" i="44"/>
  <c r="AT18" i="44" s="1"/>
  <c r="AT19" i="44" s="1"/>
  <c r="AQ3" i="49"/>
  <c r="AQ3" i="44"/>
  <c r="AQ3" i="28"/>
  <c r="AQ29" i="49"/>
  <c r="AQ30" i="49" s="1"/>
  <c r="AQ33" i="49" s="1"/>
  <c r="AQ35" i="49" s="1"/>
  <c r="AQ54" i="49" s="1"/>
  <c r="AQ44" i="49"/>
  <c r="AN42" i="49"/>
  <c r="AN45" i="49" s="1"/>
  <c r="AM48" i="49"/>
  <c r="AM50" i="49" s="1"/>
  <c r="AM55" i="49" s="1"/>
  <c r="AM56" i="49" s="1"/>
  <c r="AR4" i="28"/>
  <c r="AR4" i="49"/>
  <c r="AR4" i="44"/>
  <c r="AR54" i="44"/>
  <c r="AR49" i="49"/>
  <c r="AR25" i="49"/>
  <c r="AR26" i="49" s="1"/>
  <c r="AR34" i="49"/>
  <c r="AR11" i="49"/>
  <c r="AR12" i="49" s="1"/>
  <c r="AR10" i="28"/>
  <c r="AR15" i="28" s="1"/>
  <c r="AS12" i="28" s="1"/>
  <c r="AR53" i="44"/>
  <c r="AR55" i="44" s="1"/>
  <c r="AR40" i="49"/>
  <c r="AR29" i="49" l="1"/>
  <c r="AR30" i="49" s="1"/>
  <c r="AR33" i="49" s="1"/>
  <c r="AR35" i="49" s="1"/>
  <c r="AR54" i="49" s="1"/>
  <c r="AR44" i="49"/>
  <c r="AR3" i="28"/>
  <c r="AR3" i="49"/>
  <c r="AR3" i="44"/>
  <c r="AR43" i="49"/>
  <c r="AR15" i="49"/>
  <c r="AR16" i="49" s="1"/>
  <c r="AR53" i="49" s="1"/>
  <c r="AS4" i="28"/>
  <c r="AS4" i="44"/>
  <c r="AS4" i="49"/>
  <c r="AS10" i="28"/>
  <c r="AS15" i="28" s="1"/>
  <c r="AT12" i="28" s="1"/>
  <c r="AS53" i="44"/>
  <c r="AS40" i="49"/>
  <c r="AO42" i="49"/>
  <c r="AO45" i="49" s="1"/>
  <c r="AN48" i="49"/>
  <c r="AN50" i="49" s="1"/>
  <c r="AN55" i="49" s="1"/>
  <c r="AN56" i="49" s="1"/>
  <c r="AU15" i="44"/>
  <c r="AU18" i="44" s="1"/>
  <c r="AU19" i="44" s="1"/>
  <c r="AT32" i="44"/>
  <c r="AT33" i="44" s="1"/>
  <c r="AT42" i="44"/>
  <c r="AT43" i="44" s="1"/>
  <c r="AT64" i="44"/>
  <c r="AT65" i="44" s="1"/>
  <c r="AT72" i="49" s="1"/>
  <c r="AT73" i="49" s="1"/>
  <c r="AT47" i="44"/>
  <c r="AT48" i="44" s="1"/>
  <c r="AT61" i="44"/>
  <c r="AT62" i="44" s="1"/>
  <c r="AT20" i="49" s="1"/>
  <c r="AT21" i="49" s="1"/>
  <c r="AT24" i="49" s="1"/>
  <c r="AT23" i="44"/>
  <c r="AT25" i="44" s="1"/>
  <c r="AT2" i="28"/>
  <c r="AT2" i="49"/>
  <c r="AT2" i="44"/>
  <c r="AS54" i="44"/>
  <c r="AS49" i="49"/>
  <c r="AS25" i="49"/>
  <c r="AS26" i="49" s="1"/>
  <c r="AS34" i="49"/>
  <c r="AS11" i="49"/>
  <c r="AS12" i="49" s="1"/>
  <c r="AS29" i="49" l="1"/>
  <c r="AS30" i="49" s="1"/>
  <c r="AS33" i="49" s="1"/>
  <c r="AS35" i="49" s="1"/>
  <c r="AS54" i="49" s="1"/>
  <c r="AS44" i="49"/>
  <c r="AT4" i="28"/>
  <c r="AT4" i="49"/>
  <c r="AT4" i="44"/>
  <c r="AT54" i="44"/>
  <c r="AT49" i="49"/>
  <c r="AT25" i="49"/>
  <c r="AT26" i="49" s="1"/>
  <c r="AT34" i="49"/>
  <c r="AT11" i="49"/>
  <c r="AT12" i="49" s="1"/>
  <c r="AU32" i="44"/>
  <c r="AU33" i="44" s="1"/>
  <c r="AU64" i="44"/>
  <c r="AU65" i="44" s="1"/>
  <c r="AU72" i="49" s="1"/>
  <c r="AU73" i="49" s="1"/>
  <c r="AU47" i="44"/>
  <c r="AU48" i="44" s="1"/>
  <c r="AU42" i="44"/>
  <c r="AU43" i="44" s="1"/>
  <c r="AU61" i="44"/>
  <c r="AU62" i="44" s="1"/>
  <c r="AU20" i="49" s="1"/>
  <c r="AU21" i="49" s="1"/>
  <c r="AU24" i="49" s="1"/>
  <c r="AU23" i="44"/>
  <c r="AU25" i="44" s="1"/>
  <c r="AU2" i="28"/>
  <c r="AU2" i="49"/>
  <c r="AU2" i="44"/>
  <c r="AV15" i="44"/>
  <c r="AV18" i="44" s="1"/>
  <c r="AV19" i="44" s="1"/>
  <c r="AP42" i="49"/>
  <c r="AP45" i="49" s="1"/>
  <c r="AO48" i="49"/>
  <c r="AO50" i="49" s="1"/>
  <c r="AO55" i="49" s="1"/>
  <c r="AO56" i="49" s="1"/>
  <c r="AS55" i="44"/>
  <c r="AS43" i="49"/>
  <c r="AS15" i="49"/>
  <c r="AS16" i="49" s="1"/>
  <c r="AS53" i="49" s="1"/>
  <c r="AT10" i="28"/>
  <c r="AT15" i="28" s="1"/>
  <c r="AU12" i="28" s="1"/>
  <c r="AT53" i="44"/>
  <c r="AT40" i="49"/>
  <c r="AT29" i="49" l="1"/>
  <c r="AT30" i="49" s="1"/>
  <c r="AT33" i="49" s="1"/>
  <c r="AT35" i="49" s="1"/>
  <c r="AT54" i="49" s="1"/>
  <c r="AT44" i="49"/>
  <c r="AU4" i="28"/>
  <c r="AU4" i="44"/>
  <c r="AU4" i="49"/>
  <c r="AT55" i="44"/>
  <c r="AS3" i="49"/>
  <c r="AS3" i="44"/>
  <c r="AS3" i="28"/>
  <c r="AQ42" i="49"/>
  <c r="AQ45" i="49" s="1"/>
  <c r="AP48" i="49"/>
  <c r="AP50" i="49" s="1"/>
  <c r="AP55" i="49" s="1"/>
  <c r="AP56" i="49" s="1"/>
  <c r="AU26" i="49"/>
  <c r="AU10" i="28"/>
  <c r="AU15" i="28" s="1"/>
  <c r="AV12" i="28" s="1"/>
  <c r="AU53" i="44"/>
  <c r="AU55" i="44" s="1"/>
  <c r="AU40" i="49"/>
  <c r="AV32" i="44"/>
  <c r="AV33" i="44" s="1"/>
  <c r="AW15" i="44"/>
  <c r="AW18" i="44" s="1"/>
  <c r="AW19" i="44" s="1"/>
  <c r="AV42" i="44"/>
  <c r="AV43" i="44" s="1"/>
  <c r="AV64" i="44"/>
  <c r="AV65" i="44" s="1"/>
  <c r="AV72" i="49" s="1"/>
  <c r="AV73" i="49" s="1"/>
  <c r="AV47" i="44"/>
  <c r="AV48" i="44" s="1"/>
  <c r="AV61" i="44"/>
  <c r="AV62" i="44" s="1"/>
  <c r="AV20" i="49" s="1"/>
  <c r="AV21" i="49" s="1"/>
  <c r="AV24" i="49" s="1"/>
  <c r="AV23" i="44"/>
  <c r="AV25" i="44" s="1"/>
  <c r="AV2" i="28"/>
  <c r="AV2" i="49"/>
  <c r="AV2" i="44"/>
  <c r="AU54" i="44"/>
  <c r="AU49" i="49"/>
  <c r="AU25" i="49"/>
  <c r="AU34" i="49"/>
  <c r="AU11" i="49"/>
  <c r="AU12" i="49" s="1"/>
  <c r="AT43" i="49"/>
  <c r="AT15" i="49"/>
  <c r="AT16" i="49" s="1"/>
  <c r="AT53" i="49" s="1"/>
  <c r="AW32" i="44" l="1"/>
  <c r="AW33" i="44" s="1"/>
  <c r="AW64" i="44"/>
  <c r="AW65" i="44" s="1"/>
  <c r="AW72" i="49" s="1"/>
  <c r="AW73" i="49" s="1"/>
  <c r="AW47" i="44"/>
  <c r="AW48" i="44" s="1"/>
  <c r="AW42" i="44"/>
  <c r="AW43" i="44" s="1"/>
  <c r="AW23" i="44"/>
  <c r="AW25" i="44" s="1"/>
  <c r="AW61" i="44"/>
  <c r="AW62" i="44" s="1"/>
  <c r="AW20" i="49" s="1"/>
  <c r="AW21" i="49" s="1"/>
  <c r="AW24" i="49" s="1"/>
  <c r="AW2" i="28"/>
  <c r="AW2" i="49"/>
  <c r="AW2" i="44"/>
  <c r="AX15" i="44"/>
  <c r="AX18" i="44" s="1"/>
  <c r="AX19" i="44" s="1"/>
  <c r="AU43" i="49"/>
  <c r="AU15" i="49"/>
  <c r="AU16" i="49" s="1"/>
  <c r="AU53" i="49" s="1"/>
  <c r="AV4" i="28"/>
  <c r="AV4" i="49"/>
  <c r="AV4" i="44"/>
  <c r="AV54" i="44"/>
  <c r="AV49" i="49"/>
  <c r="AV25" i="49"/>
  <c r="AV34" i="49"/>
  <c r="AV11" i="49"/>
  <c r="AV12" i="49" s="1"/>
  <c r="AV10" i="28"/>
  <c r="AV15" i="28" s="1"/>
  <c r="AW12" i="28" s="1"/>
  <c r="AV53" i="44"/>
  <c r="AV55" i="44" s="1"/>
  <c r="AV40" i="49"/>
  <c r="AT3" i="28"/>
  <c r="AT3" i="49"/>
  <c r="AT3" i="44"/>
  <c r="AV26" i="49"/>
  <c r="AU3" i="49"/>
  <c r="AU3" i="44"/>
  <c r="AU3" i="28"/>
  <c r="AU29" i="49"/>
  <c r="AU30" i="49" s="1"/>
  <c r="AU33" i="49" s="1"/>
  <c r="AU35" i="49" s="1"/>
  <c r="AU54" i="49" s="1"/>
  <c r="AU44" i="49"/>
  <c r="AR42" i="49"/>
  <c r="AR45" i="49" s="1"/>
  <c r="AQ48" i="49"/>
  <c r="AQ50" i="49" s="1"/>
  <c r="AQ55" i="49" s="1"/>
  <c r="AQ56" i="49" s="1"/>
  <c r="AS42" i="49" l="1"/>
  <c r="AS45" i="49" s="1"/>
  <c r="AR48" i="49"/>
  <c r="AR50" i="49" s="1"/>
  <c r="AR55" i="49" s="1"/>
  <c r="AR56" i="49" s="1"/>
  <c r="AY15" i="44"/>
  <c r="AY18" i="44" s="1"/>
  <c r="AY19" i="44" s="1"/>
  <c r="AX32" i="44"/>
  <c r="AX33" i="44" s="1"/>
  <c r="AX42" i="44"/>
  <c r="AX43" i="44" s="1"/>
  <c r="AX64" i="44"/>
  <c r="AX65" i="44" s="1"/>
  <c r="AX72" i="49" s="1"/>
  <c r="AX73" i="49" s="1"/>
  <c r="AX47" i="44"/>
  <c r="AX48" i="44" s="1"/>
  <c r="AX61" i="44"/>
  <c r="AX62" i="44" s="1"/>
  <c r="AX20" i="49" s="1"/>
  <c r="AX21" i="49" s="1"/>
  <c r="AX24" i="49" s="1"/>
  <c r="AX23" i="44"/>
  <c r="AX25" i="44" s="1"/>
  <c r="AX2" i="28"/>
  <c r="AX2" i="49"/>
  <c r="AX2" i="44"/>
  <c r="AW54" i="44"/>
  <c r="AW49" i="49"/>
  <c r="AW25" i="49"/>
  <c r="AW26" i="49" s="1"/>
  <c r="AW34" i="49"/>
  <c r="AW11" i="49"/>
  <c r="AW12" i="49" s="1"/>
  <c r="AV29" i="49"/>
  <c r="AV30" i="49" s="1"/>
  <c r="AV33" i="49" s="1"/>
  <c r="AV35" i="49" s="1"/>
  <c r="AV54" i="49" s="1"/>
  <c r="AV44" i="49"/>
  <c r="AV3" i="28"/>
  <c r="AV3" i="49"/>
  <c r="AV3" i="44"/>
  <c r="AV43" i="49"/>
  <c r="AV15" i="49"/>
  <c r="AV16" i="49" s="1"/>
  <c r="AV53" i="49" s="1"/>
  <c r="AW4" i="28"/>
  <c r="AW4" i="44"/>
  <c r="AW4" i="49"/>
  <c r="AW10" i="28"/>
  <c r="AW15" i="28" s="1"/>
  <c r="AX12" i="28" s="1"/>
  <c r="AW53" i="44"/>
  <c r="AW55" i="44" s="1"/>
  <c r="AW40" i="49"/>
  <c r="AW29" i="49" l="1"/>
  <c r="AW30" i="49" s="1"/>
  <c r="AW33" i="49" s="1"/>
  <c r="AW35" i="49" s="1"/>
  <c r="AW54" i="49" s="1"/>
  <c r="AW44" i="49"/>
  <c r="AW3" i="49"/>
  <c r="AW3" i="44"/>
  <c r="AW3" i="28"/>
  <c r="AX4" i="28"/>
  <c r="AX4" i="49"/>
  <c r="AX4" i="44"/>
  <c r="AX54" i="44"/>
  <c r="AX49" i="49"/>
  <c r="AX25" i="49"/>
  <c r="AX34" i="49"/>
  <c r="AX11" i="49"/>
  <c r="AX12" i="49" s="1"/>
  <c r="AY32" i="44"/>
  <c r="AY33" i="44" s="1"/>
  <c r="AY64" i="44"/>
  <c r="AY65" i="44" s="1"/>
  <c r="AY72" i="49" s="1"/>
  <c r="AY73" i="49" s="1"/>
  <c r="AY47" i="44"/>
  <c r="AY48" i="44" s="1"/>
  <c r="AY42" i="44"/>
  <c r="AY43" i="44" s="1"/>
  <c r="AY61" i="44"/>
  <c r="AY62" i="44" s="1"/>
  <c r="AY20" i="49" s="1"/>
  <c r="AY21" i="49" s="1"/>
  <c r="AY24" i="49" s="1"/>
  <c r="AY23" i="44"/>
  <c r="AY25" i="44" s="1"/>
  <c r="AY2" i="28"/>
  <c r="AY2" i="49"/>
  <c r="AY2" i="44"/>
  <c r="AZ15" i="44"/>
  <c r="AZ18" i="44" s="1"/>
  <c r="AZ19" i="44" s="1"/>
  <c r="AW43" i="49"/>
  <c r="AW15" i="49"/>
  <c r="AW16" i="49" s="1"/>
  <c r="AW53" i="49" s="1"/>
  <c r="AX26" i="49"/>
  <c r="AX10" i="28"/>
  <c r="AX15" i="28" s="1"/>
  <c r="AY12" i="28" s="1"/>
  <c r="AX53" i="44"/>
  <c r="AX55" i="44" s="1"/>
  <c r="AX40" i="49"/>
  <c r="AT42" i="49"/>
  <c r="AT45" i="49" s="1"/>
  <c r="AS48" i="49"/>
  <c r="AS50" i="49" s="1"/>
  <c r="AS55" i="49" s="1"/>
  <c r="AS56" i="49" s="1"/>
  <c r="AU42" i="49" l="1"/>
  <c r="AU45" i="49" s="1"/>
  <c r="AT48" i="49"/>
  <c r="AT50" i="49" s="1"/>
  <c r="AT55" i="49" s="1"/>
  <c r="AT56" i="49" s="1"/>
  <c r="AX3" i="28"/>
  <c r="AX3" i="49"/>
  <c r="AX3" i="44"/>
  <c r="AX29" i="49"/>
  <c r="AX30" i="49" s="1"/>
  <c r="AX33" i="49" s="1"/>
  <c r="AX35" i="49" s="1"/>
  <c r="AX54" i="49" s="1"/>
  <c r="AX44" i="49"/>
  <c r="AZ32" i="44"/>
  <c r="AZ33" i="44" s="1"/>
  <c r="BA15" i="44"/>
  <c r="BA18" i="44" s="1"/>
  <c r="BA19" i="44" s="1"/>
  <c r="AZ42" i="44"/>
  <c r="AZ43" i="44" s="1"/>
  <c r="AZ64" i="44"/>
  <c r="AZ65" i="44" s="1"/>
  <c r="AZ72" i="49" s="1"/>
  <c r="AZ73" i="49" s="1"/>
  <c r="AZ47" i="44"/>
  <c r="AZ48" i="44" s="1"/>
  <c r="AZ61" i="44"/>
  <c r="AZ62" i="44" s="1"/>
  <c r="AZ20" i="49" s="1"/>
  <c r="AZ21" i="49" s="1"/>
  <c r="AZ24" i="49" s="1"/>
  <c r="AZ23" i="44"/>
  <c r="AZ25" i="44" s="1"/>
  <c r="AZ2" i="28"/>
  <c r="AZ2" i="49"/>
  <c r="AZ2" i="44"/>
  <c r="AY4" i="28"/>
  <c r="AY4" i="44"/>
  <c r="AY4" i="49"/>
  <c r="AY54" i="44"/>
  <c r="AY49" i="49"/>
  <c r="AY25" i="49"/>
  <c r="AY26" i="49" s="1"/>
  <c r="AY34" i="49"/>
  <c r="AY11" i="49"/>
  <c r="AY12" i="49" s="1"/>
  <c r="AX43" i="49"/>
  <c r="AX15" i="49"/>
  <c r="AX16" i="49" s="1"/>
  <c r="AX53" i="49" s="1"/>
  <c r="AY10" i="28"/>
  <c r="AY15" i="28" s="1"/>
  <c r="AZ12" i="28" s="1"/>
  <c r="AY53" i="44"/>
  <c r="AY40" i="49"/>
  <c r="AY29" i="49" l="1"/>
  <c r="AY30" i="49" s="1"/>
  <c r="AY33" i="49" s="1"/>
  <c r="AY35" i="49" s="1"/>
  <c r="AY54" i="49" s="1"/>
  <c r="AY44" i="49"/>
  <c r="AY43" i="49"/>
  <c r="AY15" i="49"/>
  <c r="AY16" i="49" s="1"/>
  <c r="AY53" i="49" s="1"/>
  <c r="AZ26" i="49"/>
  <c r="AY55" i="44"/>
  <c r="AZ4" i="28"/>
  <c r="AZ4" i="49"/>
  <c r="AZ4" i="44"/>
  <c r="AZ54" i="44"/>
  <c r="AZ49" i="49"/>
  <c r="AZ25" i="49"/>
  <c r="AZ34" i="49"/>
  <c r="AZ11" i="49"/>
  <c r="AZ12" i="49" s="1"/>
  <c r="AZ10" i="28"/>
  <c r="AZ15" i="28" s="1"/>
  <c r="BA12" i="28" s="1"/>
  <c r="AZ53" i="44"/>
  <c r="AZ55" i="44" s="1"/>
  <c r="AZ40" i="49"/>
  <c r="BA32" i="44"/>
  <c r="BA33" i="44" s="1"/>
  <c r="BA64" i="44"/>
  <c r="BA65" i="44" s="1"/>
  <c r="BA72" i="49" s="1"/>
  <c r="BA73" i="49" s="1"/>
  <c r="BA47" i="44"/>
  <c r="BA48" i="44" s="1"/>
  <c r="BA42" i="44"/>
  <c r="BA43" i="44" s="1"/>
  <c r="BA23" i="44"/>
  <c r="BA25" i="44" s="1"/>
  <c r="BA61" i="44"/>
  <c r="BA62" i="44" s="1"/>
  <c r="BA20" i="49" s="1"/>
  <c r="BA21" i="49" s="1"/>
  <c r="BA24" i="49" s="1"/>
  <c r="BA2" i="28"/>
  <c r="BA2" i="49"/>
  <c r="BA2" i="44"/>
  <c r="BB15" i="44"/>
  <c r="BB18" i="44" s="1"/>
  <c r="BB19" i="44" s="1"/>
  <c r="AV42" i="49"/>
  <c r="AV45" i="49" s="1"/>
  <c r="AU48" i="49"/>
  <c r="AU50" i="49" s="1"/>
  <c r="AU55" i="49" s="1"/>
  <c r="AU56" i="49" s="1"/>
  <c r="AW42" i="49" l="1"/>
  <c r="AW45" i="49" s="1"/>
  <c r="AV48" i="49"/>
  <c r="AV50" i="49" s="1"/>
  <c r="AV55" i="49" s="1"/>
  <c r="AV56" i="49" s="1"/>
  <c r="BA4" i="28"/>
  <c r="BA4" i="44"/>
  <c r="BA4" i="49"/>
  <c r="BA10" i="28"/>
  <c r="BA15" i="28" s="1"/>
  <c r="BB12" i="28" s="1"/>
  <c r="BA53" i="44"/>
  <c r="BA40" i="49"/>
  <c r="AZ3" i="28"/>
  <c r="AZ3" i="49"/>
  <c r="AZ3" i="44"/>
  <c r="AZ43" i="49"/>
  <c r="AZ15" i="49"/>
  <c r="AZ16" i="49" s="1"/>
  <c r="AZ53" i="49" s="1"/>
  <c r="AY3" i="49"/>
  <c r="AY3" i="44"/>
  <c r="AY3" i="28"/>
  <c r="BC15" i="44"/>
  <c r="BC18" i="44" s="1"/>
  <c r="BC19" i="44" s="1"/>
  <c r="BB32" i="44"/>
  <c r="BB33" i="44" s="1"/>
  <c r="BB42" i="44"/>
  <c r="BB43" i="44" s="1"/>
  <c r="BB64" i="44"/>
  <c r="BB65" i="44" s="1"/>
  <c r="BB72" i="49" s="1"/>
  <c r="BB73" i="49" s="1"/>
  <c r="BB47" i="44"/>
  <c r="BB48" i="44" s="1"/>
  <c r="BB61" i="44"/>
  <c r="BB62" i="44" s="1"/>
  <c r="BB20" i="49" s="1"/>
  <c r="BB21" i="49" s="1"/>
  <c r="BB24" i="49" s="1"/>
  <c r="BB23" i="44"/>
  <c r="BB25" i="44" s="1"/>
  <c r="BB2" i="28"/>
  <c r="BB2" i="49"/>
  <c r="BB2" i="44"/>
  <c r="BA54" i="44"/>
  <c r="BA49" i="49"/>
  <c r="BA25" i="49"/>
  <c r="BA26" i="49" s="1"/>
  <c r="BA34" i="49"/>
  <c r="BA11" i="49"/>
  <c r="BA12" i="49" s="1"/>
  <c r="AZ29" i="49"/>
  <c r="AZ30" i="49" s="1"/>
  <c r="AZ33" i="49" s="1"/>
  <c r="AZ35" i="49" s="1"/>
  <c r="AZ54" i="49" s="1"/>
  <c r="AZ44" i="49"/>
  <c r="BA29" i="49" l="1"/>
  <c r="BA30" i="49" s="1"/>
  <c r="BA33" i="49" s="1"/>
  <c r="BA35" i="49" s="1"/>
  <c r="BA54" i="49" s="1"/>
  <c r="BA44" i="49"/>
  <c r="BA43" i="49"/>
  <c r="BA15" i="49"/>
  <c r="BA16" i="49" s="1"/>
  <c r="BA53" i="49" s="1"/>
  <c r="BB4" i="28"/>
  <c r="BB4" i="49"/>
  <c r="BB4" i="44"/>
  <c r="BB54" i="44"/>
  <c r="BB49" i="49"/>
  <c r="BB25" i="49"/>
  <c r="BB34" i="49"/>
  <c r="BB11" i="49"/>
  <c r="BB12" i="49" s="1"/>
  <c r="BB26" i="49"/>
  <c r="BB10" i="28"/>
  <c r="BB15" i="28" s="1"/>
  <c r="BC12" i="28" s="1"/>
  <c r="BB53" i="44"/>
  <c r="BB55" i="44" s="1"/>
  <c r="BB40" i="49"/>
  <c r="BA55" i="44"/>
  <c r="AX42" i="49"/>
  <c r="AX45" i="49" s="1"/>
  <c r="AW48" i="49"/>
  <c r="AW50" i="49" s="1"/>
  <c r="AW55" i="49" s="1"/>
  <c r="AW56" i="49" s="1"/>
  <c r="BC32" i="44"/>
  <c r="BC33" i="44" s="1"/>
  <c r="BC64" i="44"/>
  <c r="BC65" i="44" s="1"/>
  <c r="BC72" i="49" s="1"/>
  <c r="BC73" i="49" s="1"/>
  <c r="BC47" i="44"/>
  <c r="BC48" i="44" s="1"/>
  <c r="BC42" i="44"/>
  <c r="BC43" i="44" s="1"/>
  <c r="BC61" i="44"/>
  <c r="BC62" i="44" s="1"/>
  <c r="BC20" i="49" s="1"/>
  <c r="BC21" i="49" s="1"/>
  <c r="BC24" i="49" s="1"/>
  <c r="BC23" i="44"/>
  <c r="BC25" i="44" s="1"/>
  <c r="BC2" i="28"/>
  <c r="BC2" i="49"/>
  <c r="BC2" i="44"/>
  <c r="BD15" i="44"/>
  <c r="BD18" i="44" s="1"/>
  <c r="BD19" i="44" s="1"/>
  <c r="BD32" i="44" l="1"/>
  <c r="BD33" i="44" s="1"/>
  <c r="BE15" i="44"/>
  <c r="BE18" i="44" s="1"/>
  <c r="BE19" i="44" s="1"/>
  <c r="BD42" i="44"/>
  <c r="BD43" i="44" s="1"/>
  <c r="BD64" i="44"/>
  <c r="BD65" i="44" s="1"/>
  <c r="BD72" i="49" s="1"/>
  <c r="BD73" i="49" s="1"/>
  <c r="BD47" i="44"/>
  <c r="BD48" i="44" s="1"/>
  <c r="BD61" i="44"/>
  <c r="BD62" i="44" s="1"/>
  <c r="BD20" i="49" s="1"/>
  <c r="BD21" i="49" s="1"/>
  <c r="BD24" i="49" s="1"/>
  <c r="BD23" i="44"/>
  <c r="BD25" i="44" s="1"/>
  <c r="BD2" i="28"/>
  <c r="BD2" i="49"/>
  <c r="BD2" i="44"/>
  <c r="BC4" i="28"/>
  <c r="BC4" i="44"/>
  <c r="BC4" i="49"/>
  <c r="BC54" i="44"/>
  <c r="BC49" i="49"/>
  <c r="BC25" i="49"/>
  <c r="BC34" i="49"/>
  <c r="BC11" i="49"/>
  <c r="BC12" i="49" s="1"/>
  <c r="BA3" i="49"/>
  <c r="BA3" i="44"/>
  <c r="BA3" i="28"/>
  <c r="BB43" i="49"/>
  <c r="BB15" i="49"/>
  <c r="BB16" i="49" s="1"/>
  <c r="BB53" i="49" s="1"/>
  <c r="BC26" i="49"/>
  <c r="BC10" i="28"/>
  <c r="BC15" i="28" s="1"/>
  <c r="BD12" i="28" s="1"/>
  <c r="BC53" i="44"/>
  <c r="BC55" i="44" s="1"/>
  <c r="BC40" i="49"/>
  <c r="AY42" i="49"/>
  <c r="AY45" i="49" s="1"/>
  <c r="AX48" i="49"/>
  <c r="AX50" i="49" s="1"/>
  <c r="AX55" i="49" s="1"/>
  <c r="AX56" i="49" s="1"/>
  <c r="BB3" i="28"/>
  <c r="BB3" i="49"/>
  <c r="BB3" i="44"/>
  <c r="BB29" i="49"/>
  <c r="BB30" i="49" s="1"/>
  <c r="BB33" i="49" s="1"/>
  <c r="BB35" i="49" s="1"/>
  <c r="BB54" i="49" s="1"/>
  <c r="BB44" i="49"/>
  <c r="AZ42" i="49" l="1"/>
  <c r="AZ45" i="49" s="1"/>
  <c r="AY48" i="49"/>
  <c r="AY50" i="49" s="1"/>
  <c r="AY55" i="49" s="1"/>
  <c r="AY56" i="49" s="1"/>
  <c r="BC3" i="28"/>
  <c r="BC3" i="49"/>
  <c r="BC3" i="44"/>
  <c r="BC29" i="49"/>
  <c r="BC30" i="49" s="1"/>
  <c r="BC33" i="49" s="1"/>
  <c r="BC35" i="49" s="1"/>
  <c r="BC54" i="49" s="1"/>
  <c r="BC44" i="49"/>
  <c r="BC43" i="49"/>
  <c r="BC15" i="49"/>
  <c r="BC16" i="49" s="1"/>
  <c r="BC53" i="49" s="1"/>
  <c r="BE32" i="44"/>
  <c r="BE33" i="44" s="1"/>
  <c r="BE64" i="44"/>
  <c r="BE65" i="44" s="1"/>
  <c r="BE72" i="49" s="1"/>
  <c r="BE73" i="49" s="1"/>
  <c r="BE47" i="44"/>
  <c r="BE48" i="44" s="1"/>
  <c r="BE42" i="44"/>
  <c r="BE43" i="44" s="1"/>
  <c r="BE23" i="44"/>
  <c r="BE25" i="44" s="1"/>
  <c r="BE61" i="44"/>
  <c r="BE62" i="44" s="1"/>
  <c r="BE20" i="49" s="1"/>
  <c r="BE21" i="49" s="1"/>
  <c r="BE24" i="49" s="1"/>
  <c r="BE2" i="28"/>
  <c r="BE2" i="49"/>
  <c r="BE2" i="44"/>
  <c r="BF15" i="44"/>
  <c r="BF18" i="44" s="1"/>
  <c r="BF19" i="44" s="1"/>
  <c r="BD4" i="28"/>
  <c r="BD4" i="49"/>
  <c r="BD4" i="44"/>
  <c r="BD54" i="44"/>
  <c r="BD49" i="49"/>
  <c r="BD25" i="49"/>
  <c r="BD26" i="49" s="1"/>
  <c r="BD34" i="49"/>
  <c r="BD11" i="49"/>
  <c r="BD12" i="49" s="1"/>
  <c r="BD10" i="28"/>
  <c r="BD15" i="28" s="1"/>
  <c r="BE12" i="28" s="1"/>
  <c r="BD53" i="44"/>
  <c r="BD55" i="44" s="1"/>
  <c r="BD40" i="49"/>
  <c r="BD29" i="49" l="1"/>
  <c r="BD30" i="49" s="1"/>
  <c r="BD33" i="49" s="1"/>
  <c r="BD35" i="49" s="1"/>
  <c r="BD54" i="49" s="1"/>
  <c r="BD44" i="49"/>
  <c r="BE4" i="28"/>
  <c r="BE4" i="44"/>
  <c r="BE4" i="49"/>
  <c r="BD3" i="28"/>
  <c r="BD3" i="49"/>
  <c r="BD3" i="44"/>
  <c r="BD43" i="49"/>
  <c r="BD15" i="49"/>
  <c r="BD16" i="49" s="1"/>
  <c r="BD53" i="49" s="1"/>
  <c r="BG15" i="44"/>
  <c r="BG18" i="44" s="1"/>
  <c r="BG19" i="44" s="1"/>
  <c r="BF32" i="44"/>
  <c r="BF33" i="44" s="1"/>
  <c r="BF42" i="44"/>
  <c r="BF43" i="44" s="1"/>
  <c r="BF64" i="44"/>
  <c r="BF65" i="44" s="1"/>
  <c r="BF72" i="49" s="1"/>
  <c r="BF73" i="49" s="1"/>
  <c r="BF47" i="44"/>
  <c r="BF48" i="44" s="1"/>
  <c r="BF61" i="44"/>
  <c r="BF62" i="44" s="1"/>
  <c r="BF20" i="49" s="1"/>
  <c r="BF21" i="49" s="1"/>
  <c r="BF24" i="49" s="1"/>
  <c r="BF23" i="44"/>
  <c r="BF25" i="44" s="1"/>
  <c r="BF2" i="28"/>
  <c r="BF2" i="49"/>
  <c r="BF2" i="44"/>
  <c r="BE54" i="44"/>
  <c r="BE49" i="49"/>
  <c r="BE25" i="49"/>
  <c r="BE26" i="49" s="1"/>
  <c r="BE34" i="49"/>
  <c r="BE11" i="49"/>
  <c r="BE12" i="49" s="1"/>
  <c r="BA42" i="49"/>
  <c r="BA45" i="49" s="1"/>
  <c r="AZ48" i="49"/>
  <c r="AZ50" i="49" s="1"/>
  <c r="AZ55" i="49" s="1"/>
  <c r="AZ56" i="49" s="1"/>
  <c r="BE10" i="28"/>
  <c r="BE15" i="28" s="1"/>
  <c r="BF12" i="28" s="1"/>
  <c r="BE53" i="44"/>
  <c r="BE55" i="44" s="1"/>
  <c r="BE40" i="49"/>
  <c r="BE29" i="49" l="1"/>
  <c r="BE30" i="49" s="1"/>
  <c r="BE33" i="49" s="1"/>
  <c r="BE35" i="49" s="1"/>
  <c r="BE54" i="49" s="1"/>
  <c r="BE44" i="49"/>
  <c r="BB42" i="49"/>
  <c r="BB45" i="49" s="1"/>
  <c r="BA48" i="49"/>
  <c r="BA50" i="49" s="1"/>
  <c r="BA55" i="49" s="1"/>
  <c r="BA56" i="49" s="1"/>
  <c r="BF4" i="28"/>
  <c r="BF4" i="49"/>
  <c r="BF4" i="44"/>
  <c r="BF54" i="44"/>
  <c r="BF49" i="49"/>
  <c r="BF25" i="49"/>
  <c r="BF34" i="49"/>
  <c r="BF11" i="49"/>
  <c r="BF12" i="49" s="1"/>
  <c r="BG32" i="44"/>
  <c r="BG33" i="44" s="1"/>
  <c r="BG64" i="44"/>
  <c r="BG65" i="44" s="1"/>
  <c r="BG72" i="49" s="1"/>
  <c r="BG73" i="49" s="1"/>
  <c r="BG47" i="44"/>
  <c r="BG48" i="44" s="1"/>
  <c r="BG42" i="44"/>
  <c r="BG43" i="44" s="1"/>
  <c r="BG61" i="44"/>
  <c r="BG62" i="44" s="1"/>
  <c r="BG20" i="49" s="1"/>
  <c r="BG21" i="49" s="1"/>
  <c r="BG24" i="49" s="1"/>
  <c r="BG23" i="44"/>
  <c r="BG25" i="44" s="1"/>
  <c r="BG2" i="28"/>
  <c r="BG2" i="49"/>
  <c r="BG2" i="44"/>
  <c r="BH15" i="44"/>
  <c r="BH18" i="44" s="1"/>
  <c r="BH19" i="44" s="1"/>
  <c r="BE3" i="28"/>
  <c r="BE3" i="49"/>
  <c r="BE3" i="44"/>
  <c r="BE43" i="49"/>
  <c r="BE15" i="49"/>
  <c r="BE16" i="49" s="1"/>
  <c r="BE53" i="49" s="1"/>
  <c r="BF26" i="49"/>
  <c r="BF10" i="28"/>
  <c r="BF15" i="28" s="1"/>
  <c r="BG12" i="28" s="1"/>
  <c r="BF53" i="44"/>
  <c r="BF55" i="44" s="1"/>
  <c r="BF40" i="49"/>
  <c r="BF3" i="28" l="1"/>
  <c r="BF3" i="49"/>
  <c r="BF3" i="44"/>
  <c r="BF29" i="49"/>
  <c r="BF30" i="49" s="1"/>
  <c r="BF33" i="49" s="1"/>
  <c r="BF35" i="49" s="1"/>
  <c r="BF54" i="49" s="1"/>
  <c r="BF44" i="49"/>
  <c r="BG4" i="28"/>
  <c r="BG4" i="44"/>
  <c r="BG4" i="49"/>
  <c r="BG10" i="28"/>
  <c r="BG15" i="28" s="1"/>
  <c r="BH12" i="28" s="1"/>
  <c r="BG53" i="44"/>
  <c r="BG40" i="49"/>
  <c r="BC42" i="49"/>
  <c r="BC45" i="49" s="1"/>
  <c r="BB48" i="49"/>
  <c r="BB50" i="49" s="1"/>
  <c r="BB55" i="49" s="1"/>
  <c r="BB56" i="49" s="1"/>
  <c r="BH32" i="44"/>
  <c r="BH33" i="44" s="1"/>
  <c r="BI15" i="44"/>
  <c r="BI18" i="44" s="1"/>
  <c r="BI19" i="44" s="1"/>
  <c r="BH42" i="44"/>
  <c r="BH43" i="44" s="1"/>
  <c r="BH64" i="44"/>
  <c r="BH65" i="44" s="1"/>
  <c r="BH72" i="49" s="1"/>
  <c r="BH73" i="49" s="1"/>
  <c r="BH47" i="44"/>
  <c r="BH48" i="44" s="1"/>
  <c r="BH61" i="44"/>
  <c r="BH62" i="44" s="1"/>
  <c r="BH20" i="49" s="1"/>
  <c r="BH21" i="49" s="1"/>
  <c r="BH24" i="49" s="1"/>
  <c r="BH23" i="44"/>
  <c r="BH25" i="44" s="1"/>
  <c r="BH2" i="28"/>
  <c r="BH2" i="49"/>
  <c r="BH2" i="44"/>
  <c r="BG54" i="44"/>
  <c r="BG49" i="49"/>
  <c r="BG25" i="49"/>
  <c r="BG26" i="49" s="1"/>
  <c r="BG34" i="49"/>
  <c r="BG11" i="49"/>
  <c r="BG12" i="49" s="1"/>
  <c r="BF43" i="49"/>
  <c r="BF15" i="49"/>
  <c r="BF16" i="49" s="1"/>
  <c r="BF53" i="49" s="1"/>
  <c r="BG29" i="49" l="1"/>
  <c r="BG30" i="49" s="1"/>
  <c r="BG33" i="49" s="1"/>
  <c r="BG35" i="49" s="1"/>
  <c r="BG54" i="49" s="1"/>
  <c r="BG44" i="49"/>
  <c r="BG43" i="49"/>
  <c r="BG15" i="49"/>
  <c r="BG16" i="49" s="1"/>
  <c r="BG53" i="49" s="1"/>
  <c r="BI32" i="44"/>
  <c r="BI33" i="44" s="1"/>
  <c r="BI64" i="44"/>
  <c r="BI65" i="44" s="1"/>
  <c r="BI72" i="49" s="1"/>
  <c r="BI73" i="49" s="1"/>
  <c r="BI47" i="44"/>
  <c r="BI48" i="44" s="1"/>
  <c r="BI42" i="44"/>
  <c r="BI43" i="44" s="1"/>
  <c r="BI23" i="44"/>
  <c r="BI25" i="44" s="1"/>
  <c r="BI61" i="44"/>
  <c r="BI62" i="44" s="1"/>
  <c r="BI20" i="49" s="1"/>
  <c r="BI21" i="49" s="1"/>
  <c r="BI24" i="49" s="1"/>
  <c r="BI2" i="28"/>
  <c r="BI2" i="49"/>
  <c r="BI2" i="44"/>
  <c r="BJ15" i="44"/>
  <c r="BJ18" i="44" s="1"/>
  <c r="BJ19" i="44" s="1"/>
  <c r="BH4" i="28"/>
  <c r="BH4" i="49"/>
  <c r="BH4" i="44"/>
  <c r="BH54" i="44"/>
  <c r="BH49" i="49"/>
  <c r="BH25" i="49"/>
  <c r="BH26" i="49" s="1"/>
  <c r="BH34" i="49"/>
  <c r="BH11" i="49"/>
  <c r="BH12" i="49" s="1"/>
  <c r="BH10" i="28"/>
  <c r="BH15" i="28" s="1"/>
  <c r="BI12" i="28" s="1"/>
  <c r="BH53" i="44"/>
  <c r="BH55" i="44" s="1"/>
  <c r="BH40" i="49"/>
  <c r="BD42" i="49"/>
  <c r="BD45" i="49" s="1"/>
  <c r="BC48" i="49"/>
  <c r="BC50" i="49" s="1"/>
  <c r="BC55" i="49" s="1"/>
  <c r="BC56" i="49" s="1"/>
  <c r="BG55" i="44"/>
  <c r="BH29" i="49" l="1"/>
  <c r="BH30" i="49" s="1"/>
  <c r="BH33" i="49" s="1"/>
  <c r="BH35" i="49" s="1"/>
  <c r="BH54" i="49" s="1"/>
  <c r="BH44" i="49"/>
  <c r="BG3" i="28"/>
  <c r="BG3" i="49"/>
  <c r="BG3" i="44"/>
  <c r="BE42" i="49"/>
  <c r="BE45" i="49" s="1"/>
  <c r="BD48" i="49"/>
  <c r="BD50" i="49" s="1"/>
  <c r="BD55" i="49" s="1"/>
  <c r="BD56" i="49" s="1"/>
  <c r="BH43" i="49"/>
  <c r="BH15" i="49"/>
  <c r="BH16" i="49" s="1"/>
  <c r="BH53" i="49" s="1"/>
  <c r="BK15" i="44"/>
  <c r="BK18" i="44" s="1"/>
  <c r="BK19" i="44" s="1"/>
  <c r="BJ32" i="44"/>
  <c r="BJ33" i="44" s="1"/>
  <c r="BJ42" i="44"/>
  <c r="BJ43" i="44" s="1"/>
  <c r="BJ64" i="44"/>
  <c r="BJ65" i="44" s="1"/>
  <c r="BJ72" i="49" s="1"/>
  <c r="BJ73" i="49" s="1"/>
  <c r="BJ47" i="44"/>
  <c r="BJ48" i="44" s="1"/>
  <c r="BJ61" i="44"/>
  <c r="BJ62" i="44" s="1"/>
  <c r="BJ20" i="49" s="1"/>
  <c r="BJ21" i="49" s="1"/>
  <c r="BJ24" i="49" s="1"/>
  <c r="BJ23" i="44"/>
  <c r="BJ25" i="44" s="1"/>
  <c r="BJ2" i="28"/>
  <c r="BJ2" i="49"/>
  <c r="BJ2" i="44"/>
  <c r="BI26" i="49"/>
  <c r="BI54" i="44"/>
  <c r="BI49" i="49"/>
  <c r="BI25" i="49"/>
  <c r="BI34" i="49"/>
  <c r="BI11" i="49"/>
  <c r="BI12" i="49" s="1"/>
  <c r="BH3" i="28"/>
  <c r="BH3" i="49"/>
  <c r="BH3" i="44"/>
  <c r="BI4" i="28"/>
  <c r="BI4" i="44"/>
  <c r="BI4" i="49"/>
  <c r="BI10" i="28"/>
  <c r="BI15" i="28" s="1"/>
  <c r="BJ12" i="28" s="1"/>
  <c r="BI53" i="44"/>
  <c r="BI55" i="44" s="1"/>
  <c r="BI40" i="49"/>
  <c r="BJ4" i="28" l="1"/>
  <c r="BJ4" i="49"/>
  <c r="BJ4" i="44"/>
  <c r="BJ54" i="44"/>
  <c r="BJ49" i="49"/>
  <c r="BJ25" i="49"/>
  <c r="BJ26" i="49" s="1"/>
  <c r="BJ34" i="49"/>
  <c r="BJ11" i="49"/>
  <c r="BJ12" i="49" s="1"/>
  <c r="BI3" i="28"/>
  <c r="BI3" i="49"/>
  <c r="BI3" i="44"/>
  <c r="BI43" i="49"/>
  <c r="BI15" i="49"/>
  <c r="BI16" i="49" s="1"/>
  <c r="BI53" i="49" s="1"/>
  <c r="BJ10" i="28"/>
  <c r="BJ15" i="28" s="1"/>
  <c r="BK12" i="28" s="1"/>
  <c r="BJ53" i="44"/>
  <c r="BJ40" i="49"/>
  <c r="BF42" i="49"/>
  <c r="BF45" i="49" s="1"/>
  <c r="BE48" i="49"/>
  <c r="BE50" i="49" s="1"/>
  <c r="BE55" i="49" s="1"/>
  <c r="BE56" i="49" s="1"/>
  <c r="BI29" i="49"/>
  <c r="BI30" i="49" s="1"/>
  <c r="BI33" i="49" s="1"/>
  <c r="BI35" i="49" s="1"/>
  <c r="BI54" i="49" s="1"/>
  <c r="BI44" i="49"/>
  <c r="BK32" i="44"/>
  <c r="BK33" i="44" s="1"/>
  <c r="BK64" i="44"/>
  <c r="BK65" i="44" s="1"/>
  <c r="BK72" i="49" s="1"/>
  <c r="BK73" i="49" s="1"/>
  <c r="BK47" i="44"/>
  <c r="BK48" i="44" s="1"/>
  <c r="BK42" i="44"/>
  <c r="BK43" i="44" s="1"/>
  <c r="BK61" i="44"/>
  <c r="BK62" i="44" s="1"/>
  <c r="BK20" i="49" s="1"/>
  <c r="BK21" i="49" s="1"/>
  <c r="BK24" i="49" s="1"/>
  <c r="BK23" i="44"/>
  <c r="BK25" i="44" s="1"/>
  <c r="BK2" i="28"/>
  <c r="BK2" i="49"/>
  <c r="BK2" i="44"/>
  <c r="BL15" i="44"/>
  <c r="BL18" i="44" s="1"/>
  <c r="BL19" i="44" s="1"/>
  <c r="BJ29" i="49" l="1"/>
  <c r="BJ30" i="49" s="1"/>
  <c r="BJ33" i="49" s="1"/>
  <c r="BJ35" i="49" s="1"/>
  <c r="BJ54" i="49" s="1"/>
  <c r="BJ44" i="49"/>
  <c r="BK4" i="28"/>
  <c r="BK4" i="44"/>
  <c r="BK4" i="49"/>
  <c r="BK54" i="44"/>
  <c r="BK49" i="49"/>
  <c r="BK25" i="49"/>
  <c r="BK26" i="49" s="1"/>
  <c r="BK34" i="49"/>
  <c r="BK11" i="49"/>
  <c r="BK12" i="49" s="1"/>
  <c r="BK10" i="28"/>
  <c r="BK15" i="28" s="1"/>
  <c r="BL12" i="28" s="1"/>
  <c r="BK53" i="44"/>
  <c r="BK40" i="49"/>
  <c r="BG42" i="49"/>
  <c r="BG45" i="49" s="1"/>
  <c r="BF48" i="49"/>
  <c r="BF50" i="49" s="1"/>
  <c r="BF55" i="49" s="1"/>
  <c r="BF56" i="49" s="1"/>
  <c r="BJ55" i="44"/>
  <c r="BL32" i="44"/>
  <c r="BL33" i="44" s="1"/>
  <c r="BM15" i="44"/>
  <c r="BM18" i="44" s="1"/>
  <c r="BM19" i="44" s="1"/>
  <c r="BL42" i="44"/>
  <c r="BL43" i="44" s="1"/>
  <c r="BL64" i="44"/>
  <c r="BL65" i="44" s="1"/>
  <c r="BL72" i="49" s="1"/>
  <c r="BL73" i="49" s="1"/>
  <c r="BL47" i="44"/>
  <c r="BL48" i="44" s="1"/>
  <c r="BL61" i="44"/>
  <c r="BL62" i="44" s="1"/>
  <c r="BL20" i="49" s="1"/>
  <c r="BL21" i="49" s="1"/>
  <c r="BL24" i="49" s="1"/>
  <c r="BL23" i="44"/>
  <c r="BL25" i="44" s="1"/>
  <c r="BL2" i="28"/>
  <c r="BL2" i="49"/>
  <c r="BL2" i="44"/>
  <c r="BJ43" i="49"/>
  <c r="BJ15" i="49"/>
  <c r="BJ16" i="49" s="1"/>
  <c r="BJ53" i="49" s="1"/>
  <c r="BK29" i="49" l="1"/>
  <c r="BK30" i="49" s="1"/>
  <c r="BK33" i="49" s="1"/>
  <c r="BK35" i="49" s="1"/>
  <c r="BK54" i="49" s="1"/>
  <c r="BK44" i="49"/>
  <c r="BL54" i="44"/>
  <c r="BL49" i="49"/>
  <c r="BL25" i="49"/>
  <c r="BL26" i="49" s="1"/>
  <c r="BL34" i="49"/>
  <c r="BL11" i="49"/>
  <c r="BL12" i="49" s="1"/>
  <c r="BL10" i="28"/>
  <c r="BL15" i="28" s="1"/>
  <c r="BM12" i="28" s="1"/>
  <c r="BL53" i="44"/>
  <c r="BL55" i="44" s="1"/>
  <c r="BL40" i="49"/>
  <c r="BK43" i="49"/>
  <c r="BK15" i="49"/>
  <c r="BK16" i="49" s="1"/>
  <c r="BK53" i="49" s="1"/>
  <c r="BL4" i="28"/>
  <c r="BL4" i="49"/>
  <c r="BL4" i="44"/>
  <c r="BM32" i="44"/>
  <c r="BM33" i="44" s="1"/>
  <c r="BM64" i="44"/>
  <c r="BM65" i="44" s="1"/>
  <c r="BM72" i="49" s="1"/>
  <c r="BM73" i="49" s="1"/>
  <c r="BM47" i="44"/>
  <c r="BM48" i="44" s="1"/>
  <c r="BM42" i="44"/>
  <c r="BM43" i="44" s="1"/>
  <c r="BM23" i="44"/>
  <c r="BM25" i="44" s="1"/>
  <c r="BM61" i="44"/>
  <c r="BM62" i="44" s="1"/>
  <c r="BM20" i="49" s="1"/>
  <c r="BM21" i="49" s="1"/>
  <c r="BM24" i="49" s="1"/>
  <c r="BM2" i="28"/>
  <c r="BM2" i="49"/>
  <c r="BM2" i="44"/>
  <c r="BN15" i="44"/>
  <c r="BN18" i="44" s="1"/>
  <c r="BN19" i="44" s="1"/>
  <c r="BJ3" i="28"/>
  <c r="BJ3" i="49"/>
  <c r="BJ3" i="44"/>
  <c r="BH42" i="49"/>
  <c r="BH45" i="49" s="1"/>
  <c r="BG48" i="49"/>
  <c r="BG50" i="49" s="1"/>
  <c r="BG55" i="49" s="1"/>
  <c r="BG56" i="49" s="1"/>
  <c r="BK55" i="44"/>
  <c r="BL29" i="49" l="1"/>
  <c r="BL30" i="49" s="1"/>
  <c r="BL33" i="49" s="1"/>
  <c r="BL35" i="49" s="1"/>
  <c r="BL54" i="49" s="1"/>
  <c r="BL44" i="49"/>
  <c r="BK3" i="28"/>
  <c r="BK3" i="49"/>
  <c r="BK3" i="44"/>
  <c r="BI42" i="49"/>
  <c r="BI45" i="49" s="1"/>
  <c r="BH48" i="49"/>
  <c r="BH50" i="49" s="1"/>
  <c r="BH55" i="49" s="1"/>
  <c r="BH56" i="49" s="1"/>
  <c r="BO15" i="44"/>
  <c r="BO18" i="44" s="1"/>
  <c r="BO19" i="44" s="1"/>
  <c r="BN32" i="44"/>
  <c r="BN33" i="44" s="1"/>
  <c r="BN42" i="44"/>
  <c r="BN43" i="44" s="1"/>
  <c r="BN64" i="44"/>
  <c r="BN65" i="44" s="1"/>
  <c r="BN72" i="49" s="1"/>
  <c r="BN73" i="49" s="1"/>
  <c r="BN47" i="44"/>
  <c r="BN48" i="44" s="1"/>
  <c r="BN61" i="44"/>
  <c r="BN62" i="44" s="1"/>
  <c r="BN20" i="49" s="1"/>
  <c r="BN21" i="49" s="1"/>
  <c r="BN24" i="49" s="1"/>
  <c r="BN23" i="44"/>
  <c r="BN25" i="44" s="1"/>
  <c r="BN2" i="28"/>
  <c r="BN2" i="49"/>
  <c r="BN2" i="44"/>
  <c r="BM54" i="44"/>
  <c r="BM49" i="49"/>
  <c r="BM25" i="49"/>
  <c r="BM26" i="49" s="1"/>
  <c r="BM34" i="49"/>
  <c r="BM11" i="49"/>
  <c r="BM12" i="49" s="1"/>
  <c r="BM4" i="28"/>
  <c r="BM4" i="44"/>
  <c r="BM4" i="49"/>
  <c r="BM10" i="28"/>
  <c r="BM15" i="28" s="1"/>
  <c r="BN12" i="28" s="1"/>
  <c r="BM53" i="44"/>
  <c r="BM55" i="44" s="1"/>
  <c r="BM40" i="49"/>
  <c r="BL3" i="28"/>
  <c r="BL3" i="49"/>
  <c r="BL3" i="44"/>
  <c r="BL43" i="49"/>
  <c r="BL15" i="49"/>
  <c r="BL16" i="49" s="1"/>
  <c r="BL53" i="49" s="1"/>
  <c r="BM29" i="49" l="1"/>
  <c r="BM30" i="49" s="1"/>
  <c r="BM33" i="49" s="1"/>
  <c r="BM35" i="49" s="1"/>
  <c r="BM54" i="49" s="1"/>
  <c r="BM44" i="49"/>
  <c r="BN4" i="28"/>
  <c r="BN4" i="49"/>
  <c r="BN4" i="44"/>
  <c r="BN54" i="44"/>
  <c r="BN49" i="49"/>
  <c r="BN25" i="49"/>
  <c r="BN26" i="49" s="1"/>
  <c r="BN34" i="49"/>
  <c r="BN11" i="49"/>
  <c r="BN12" i="49" s="1"/>
  <c r="BO32" i="44"/>
  <c r="BO33" i="44" s="1"/>
  <c r="BO64" i="44"/>
  <c r="BO65" i="44" s="1"/>
  <c r="BO72" i="49" s="1"/>
  <c r="BO73" i="49" s="1"/>
  <c r="BO47" i="44"/>
  <c r="BO48" i="44" s="1"/>
  <c r="BO42" i="44"/>
  <c r="BO43" i="44" s="1"/>
  <c r="BO61" i="44"/>
  <c r="BO62" i="44" s="1"/>
  <c r="BO20" i="49" s="1"/>
  <c r="BO21" i="49" s="1"/>
  <c r="BO24" i="49" s="1"/>
  <c r="BO23" i="44"/>
  <c r="BO25" i="44" s="1"/>
  <c r="BO2" i="28"/>
  <c r="BO2" i="49"/>
  <c r="BO2" i="44"/>
  <c r="BP15" i="44"/>
  <c r="BP18" i="44" s="1"/>
  <c r="BP19" i="44" s="1"/>
  <c r="BJ42" i="49"/>
  <c r="BJ45" i="49" s="1"/>
  <c r="BI48" i="49"/>
  <c r="BI50" i="49" s="1"/>
  <c r="BI55" i="49" s="1"/>
  <c r="BI56" i="49" s="1"/>
  <c r="BM3" i="28"/>
  <c r="BM3" i="49"/>
  <c r="BM3" i="44"/>
  <c r="BM43" i="49"/>
  <c r="BM15" i="49"/>
  <c r="BM16" i="49" s="1"/>
  <c r="BM53" i="49" s="1"/>
  <c r="BN10" i="28"/>
  <c r="BN15" i="28" s="1"/>
  <c r="BO12" i="28" s="1"/>
  <c r="BN53" i="44"/>
  <c r="BN40" i="49"/>
  <c r="BN29" i="49" l="1"/>
  <c r="BN30" i="49" s="1"/>
  <c r="BN33" i="49" s="1"/>
  <c r="BN35" i="49" s="1"/>
  <c r="BN54" i="49" s="1"/>
  <c r="BN44" i="49"/>
  <c r="BO4" i="28"/>
  <c r="BO4" i="44"/>
  <c r="BO4" i="49"/>
  <c r="BN55" i="44"/>
  <c r="BK42" i="49"/>
  <c r="BK45" i="49" s="1"/>
  <c r="BJ48" i="49"/>
  <c r="BJ50" i="49" s="1"/>
  <c r="BJ55" i="49" s="1"/>
  <c r="BJ56" i="49" s="1"/>
  <c r="BO10" i="28"/>
  <c r="BO15" i="28" s="1"/>
  <c r="BP12" i="28" s="1"/>
  <c r="BO53" i="44"/>
  <c r="BO40" i="49"/>
  <c r="BP32" i="44"/>
  <c r="BP33" i="44" s="1"/>
  <c r="BQ15" i="44"/>
  <c r="BQ18" i="44" s="1"/>
  <c r="BQ19" i="44" s="1"/>
  <c r="BP42" i="44"/>
  <c r="BP43" i="44" s="1"/>
  <c r="BP64" i="44"/>
  <c r="BP65" i="44" s="1"/>
  <c r="BP72" i="49" s="1"/>
  <c r="BP73" i="49" s="1"/>
  <c r="BP47" i="44"/>
  <c r="BP48" i="44" s="1"/>
  <c r="BP61" i="44"/>
  <c r="BP62" i="44" s="1"/>
  <c r="BP20" i="49" s="1"/>
  <c r="BP21" i="49" s="1"/>
  <c r="BP24" i="49" s="1"/>
  <c r="BP23" i="44"/>
  <c r="BP25" i="44" s="1"/>
  <c r="BP2" i="28"/>
  <c r="BP2" i="49"/>
  <c r="BP2" i="44"/>
  <c r="BO54" i="44"/>
  <c r="BO49" i="49"/>
  <c r="BO25" i="49"/>
  <c r="BO26" i="49" s="1"/>
  <c r="BO34" i="49"/>
  <c r="BO11" i="49"/>
  <c r="BO12" i="49" s="1"/>
  <c r="BN43" i="49"/>
  <c r="BN15" i="49"/>
  <c r="BN16" i="49" s="1"/>
  <c r="BN53" i="49" s="1"/>
  <c r="BO29" i="49" l="1"/>
  <c r="BO30" i="49" s="1"/>
  <c r="BO33" i="49" s="1"/>
  <c r="BO35" i="49" s="1"/>
  <c r="BO54" i="49" s="1"/>
  <c r="BO44" i="49"/>
  <c r="BO43" i="49"/>
  <c r="BO15" i="49"/>
  <c r="BO16" i="49" s="1"/>
  <c r="BO53" i="49" s="1"/>
  <c r="BP4" i="28"/>
  <c r="BP4" i="49"/>
  <c r="BP4" i="44"/>
  <c r="BP10" i="28"/>
  <c r="BP15" i="28" s="1"/>
  <c r="BQ12" i="28" s="1"/>
  <c r="BP53" i="44"/>
  <c r="BP40" i="49"/>
  <c r="BQ32" i="44"/>
  <c r="BQ33" i="44" s="1"/>
  <c r="BQ64" i="44"/>
  <c r="BQ65" i="44" s="1"/>
  <c r="BQ72" i="49" s="1"/>
  <c r="BQ73" i="49" s="1"/>
  <c r="BQ47" i="44"/>
  <c r="BQ48" i="44" s="1"/>
  <c r="BQ42" i="44"/>
  <c r="BQ43" i="44" s="1"/>
  <c r="BQ23" i="44"/>
  <c r="BQ25" i="44" s="1"/>
  <c r="BQ61" i="44"/>
  <c r="BQ62" i="44" s="1"/>
  <c r="BQ20" i="49" s="1"/>
  <c r="BQ21" i="49" s="1"/>
  <c r="BQ24" i="49" s="1"/>
  <c r="BQ2" i="28"/>
  <c r="BQ2" i="49"/>
  <c r="BQ2" i="44"/>
  <c r="BR15" i="44"/>
  <c r="BR18" i="44" s="1"/>
  <c r="BR19" i="44" s="1"/>
  <c r="BO55" i="44"/>
  <c r="BL42" i="49"/>
  <c r="BL45" i="49" s="1"/>
  <c r="BK48" i="49"/>
  <c r="BK50" i="49" s="1"/>
  <c r="BK55" i="49" s="1"/>
  <c r="BK56" i="49" s="1"/>
  <c r="BN3" i="28"/>
  <c r="BN3" i="49"/>
  <c r="BN3" i="44"/>
  <c r="BP54" i="44"/>
  <c r="BP49" i="49"/>
  <c r="BP25" i="49"/>
  <c r="BP26" i="49" s="1"/>
  <c r="BP34" i="49"/>
  <c r="BP11" i="49"/>
  <c r="BP12" i="49" s="1"/>
  <c r="BP29" i="49" l="1"/>
  <c r="BP30" i="49" s="1"/>
  <c r="BP33" i="49" s="1"/>
  <c r="BP35" i="49" s="1"/>
  <c r="BP54" i="49" s="1"/>
  <c r="BP44" i="49"/>
  <c r="BP43" i="49"/>
  <c r="BP15" i="49"/>
  <c r="BP16" i="49" s="1"/>
  <c r="BP53" i="49" s="1"/>
  <c r="BM42" i="49"/>
  <c r="BM45" i="49" s="1"/>
  <c r="BL48" i="49"/>
  <c r="BL50" i="49" s="1"/>
  <c r="BL55" i="49" s="1"/>
  <c r="BL56" i="49" s="1"/>
  <c r="BS15" i="44"/>
  <c r="BS18" i="44" s="1"/>
  <c r="BS19" i="44" s="1"/>
  <c r="BR32" i="44"/>
  <c r="BR33" i="44" s="1"/>
  <c r="BR42" i="44"/>
  <c r="BR43" i="44" s="1"/>
  <c r="BR64" i="44"/>
  <c r="BR65" i="44" s="1"/>
  <c r="BR72" i="49" s="1"/>
  <c r="BR73" i="49" s="1"/>
  <c r="BR47" i="44"/>
  <c r="BR48" i="44" s="1"/>
  <c r="BR61" i="44"/>
  <c r="BR62" i="44" s="1"/>
  <c r="BR20" i="49" s="1"/>
  <c r="BR21" i="49" s="1"/>
  <c r="BR24" i="49" s="1"/>
  <c r="BR23" i="44"/>
  <c r="BR25" i="44" s="1"/>
  <c r="BR2" i="28"/>
  <c r="BR2" i="49"/>
  <c r="BR2" i="44"/>
  <c r="BQ26" i="49"/>
  <c r="BQ54" i="44"/>
  <c r="BQ49" i="49"/>
  <c r="BQ25" i="49"/>
  <c r="BQ34" i="49"/>
  <c r="BQ11" i="49"/>
  <c r="BQ12" i="49" s="1"/>
  <c r="BO3" i="28"/>
  <c r="BO3" i="49"/>
  <c r="BO3" i="44"/>
  <c r="BQ4" i="28"/>
  <c r="BQ4" i="44"/>
  <c r="BQ4" i="49"/>
  <c r="BQ10" i="28"/>
  <c r="BQ15" i="28" s="1"/>
  <c r="BR12" i="28" s="1"/>
  <c r="BQ53" i="44"/>
  <c r="BQ55" i="44" s="1"/>
  <c r="BQ40" i="49"/>
  <c r="BP55" i="44"/>
  <c r="BQ29" i="49" l="1"/>
  <c r="BQ30" i="49" s="1"/>
  <c r="BQ33" i="49" s="1"/>
  <c r="BQ35" i="49" s="1"/>
  <c r="BQ54" i="49" s="1"/>
  <c r="BQ44" i="49"/>
  <c r="BR54" i="44"/>
  <c r="BR49" i="49"/>
  <c r="BR25" i="49"/>
  <c r="BR26" i="49" s="1"/>
  <c r="BR34" i="49"/>
  <c r="BR11" i="49"/>
  <c r="BR12" i="49" s="1"/>
  <c r="BP3" i="28"/>
  <c r="BP3" i="49"/>
  <c r="BP3" i="44"/>
  <c r="BQ3" i="28"/>
  <c r="BQ3" i="49"/>
  <c r="BQ3" i="44"/>
  <c r="BQ43" i="49"/>
  <c r="BQ15" i="49"/>
  <c r="BQ16" i="49" s="1"/>
  <c r="BQ53" i="49" s="1"/>
  <c r="BR10" i="28"/>
  <c r="BR15" i="28" s="1"/>
  <c r="BS12" i="28" s="1"/>
  <c r="BR53" i="44"/>
  <c r="BR40" i="49"/>
  <c r="BR4" i="28"/>
  <c r="BR4" i="49"/>
  <c r="BR4" i="44"/>
  <c r="BS32" i="44"/>
  <c r="BS33" i="44" s="1"/>
  <c r="BS64" i="44"/>
  <c r="BS65" i="44" s="1"/>
  <c r="BS72" i="49" s="1"/>
  <c r="BS73" i="49" s="1"/>
  <c r="BS47" i="44"/>
  <c r="BS48" i="44" s="1"/>
  <c r="BS42" i="44"/>
  <c r="BS43" i="44" s="1"/>
  <c r="BS61" i="44"/>
  <c r="BS62" i="44" s="1"/>
  <c r="BS20" i="49" s="1"/>
  <c r="BS21" i="49" s="1"/>
  <c r="BS24" i="49" s="1"/>
  <c r="BS23" i="44"/>
  <c r="BS25" i="44" s="1"/>
  <c r="BS2" i="28"/>
  <c r="BS2" i="49"/>
  <c r="BS2" i="44"/>
  <c r="BT15" i="44"/>
  <c r="BT18" i="44" s="1"/>
  <c r="BT19" i="44" s="1"/>
  <c r="BN42" i="49"/>
  <c r="BN45" i="49" s="1"/>
  <c r="BM48" i="49"/>
  <c r="BM50" i="49" s="1"/>
  <c r="BM55" i="49" s="1"/>
  <c r="BM56" i="49" s="1"/>
  <c r="BR29" i="49" l="1"/>
  <c r="BR30" i="49" s="1"/>
  <c r="BR33" i="49" s="1"/>
  <c r="BR35" i="49" s="1"/>
  <c r="BR54" i="49" s="1"/>
  <c r="BR44" i="49"/>
  <c r="BS10" i="28"/>
  <c r="BS15" i="28" s="1"/>
  <c r="BT12" i="28" s="1"/>
  <c r="BS53" i="44"/>
  <c r="BS40" i="49"/>
  <c r="BT32" i="44"/>
  <c r="BT33" i="44" s="1"/>
  <c r="BU15" i="44"/>
  <c r="BU18" i="44" s="1"/>
  <c r="BU19" i="44" s="1"/>
  <c r="BT42" i="44"/>
  <c r="BT43" i="44" s="1"/>
  <c r="BT64" i="44"/>
  <c r="BT65" i="44" s="1"/>
  <c r="BT72" i="49" s="1"/>
  <c r="BT73" i="49" s="1"/>
  <c r="BT47" i="44"/>
  <c r="BT48" i="44" s="1"/>
  <c r="BT61" i="44"/>
  <c r="BT62" i="44" s="1"/>
  <c r="BT20" i="49" s="1"/>
  <c r="BT21" i="49" s="1"/>
  <c r="BT24" i="49" s="1"/>
  <c r="BT23" i="44"/>
  <c r="BT25" i="44" s="1"/>
  <c r="BT2" i="28"/>
  <c r="BT2" i="49"/>
  <c r="BT2" i="44"/>
  <c r="BS4" i="28"/>
  <c r="BS4" i="44"/>
  <c r="BS4" i="49"/>
  <c r="BS54" i="44"/>
  <c r="BS49" i="49"/>
  <c r="BS25" i="49"/>
  <c r="BS26" i="49" s="1"/>
  <c r="BS34" i="49"/>
  <c r="BS11" i="49"/>
  <c r="BS12" i="49" s="1"/>
  <c r="BR55" i="44"/>
  <c r="BO42" i="49"/>
  <c r="BO45" i="49" s="1"/>
  <c r="BN48" i="49"/>
  <c r="BN50" i="49" s="1"/>
  <c r="BN55" i="49" s="1"/>
  <c r="BN56" i="49" s="1"/>
  <c r="BR43" i="49"/>
  <c r="BR15" i="49"/>
  <c r="BR16" i="49" s="1"/>
  <c r="BR53" i="49" s="1"/>
  <c r="BS29" i="49" l="1"/>
  <c r="BS30" i="49" s="1"/>
  <c r="BS33" i="49" s="1"/>
  <c r="BS35" i="49" s="1"/>
  <c r="BS54" i="49" s="1"/>
  <c r="BS44" i="49"/>
  <c r="BS43" i="49"/>
  <c r="BS15" i="49"/>
  <c r="BS16" i="49" s="1"/>
  <c r="BS53" i="49" s="1"/>
  <c r="BR3" i="28"/>
  <c r="BR3" i="49"/>
  <c r="BR3" i="44"/>
  <c r="BT4" i="28"/>
  <c r="BT4" i="49"/>
  <c r="BT4" i="44"/>
  <c r="BT54" i="44"/>
  <c r="BT49" i="49"/>
  <c r="BT25" i="49"/>
  <c r="BT26" i="49" s="1"/>
  <c r="BT34" i="49"/>
  <c r="BT11" i="49"/>
  <c r="BT12" i="49" s="1"/>
  <c r="BT10" i="28"/>
  <c r="BT15" i="28" s="1"/>
  <c r="BU12" i="28" s="1"/>
  <c r="BT53" i="44"/>
  <c r="BT55" i="44" s="1"/>
  <c r="BT40" i="49"/>
  <c r="BP42" i="49"/>
  <c r="BP45" i="49" s="1"/>
  <c r="BO48" i="49"/>
  <c r="BO50" i="49" s="1"/>
  <c r="BO55" i="49" s="1"/>
  <c r="BO56" i="49" s="1"/>
  <c r="BU32" i="44"/>
  <c r="BU33" i="44" s="1"/>
  <c r="BU64" i="44"/>
  <c r="BU65" i="44" s="1"/>
  <c r="BU72" i="49" s="1"/>
  <c r="BU73" i="49" s="1"/>
  <c r="BU47" i="44"/>
  <c r="BU48" i="44" s="1"/>
  <c r="BU42" i="44"/>
  <c r="BU43" i="44" s="1"/>
  <c r="BU23" i="44"/>
  <c r="BU25" i="44" s="1"/>
  <c r="BU61" i="44"/>
  <c r="BU62" i="44" s="1"/>
  <c r="BU20" i="49" s="1"/>
  <c r="BU21" i="49" s="1"/>
  <c r="BU24" i="49" s="1"/>
  <c r="BU2" i="28"/>
  <c r="BU2" i="49"/>
  <c r="BU2" i="44"/>
  <c r="BV15" i="44"/>
  <c r="BV18" i="44" s="1"/>
  <c r="BV19" i="44" s="1"/>
  <c r="BS55" i="44"/>
  <c r="BT29" i="49" l="1"/>
  <c r="BT30" i="49" s="1"/>
  <c r="BT33" i="49" s="1"/>
  <c r="BT35" i="49" s="1"/>
  <c r="BT54" i="49" s="1"/>
  <c r="BT44" i="49"/>
  <c r="BS3" i="28"/>
  <c r="BS3" i="49"/>
  <c r="BS3" i="44"/>
  <c r="BU10" i="28"/>
  <c r="BU15" i="28" s="1"/>
  <c r="BV12" i="28" s="1"/>
  <c r="BU53" i="44"/>
  <c r="BU40" i="49"/>
  <c r="BQ42" i="49"/>
  <c r="BQ45" i="49" s="1"/>
  <c r="BP48" i="49"/>
  <c r="BP50" i="49" s="1"/>
  <c r="BP55" i="49" s="1"/>
  <c r="BP56" i="49" s="1"/>
  <c r="BT3" i="28"/>
  <c r="BT3" i="49"/>
  <c r="BT3" i="44"/>
  <c r="BT43" i="49"/>
  <c r="BT15" i="49"/>
  <c r="BT16" i="49" s="1"/>
  <c r="BT53" i="49" s="1"/>
  <c r="BU4" i="28"/>
  <c r="BU4" i="44"/>
  <c r="BU4" i="49"/>
  <c r="BW15" i="44"/>
  <c r="BW18" i="44" s="1"/>
  <c r="BW19" i="44" s="1"/>
  <c r="BV32" i="44"/>
  <c r="BV33" i="44" s="1"/>
  <c r="BV42" i="44"/>
  <c r="BV43" i="44" s="1"/>
  <c r="BV64" i="44"/>
  <c r="BV65" i="44" s="1"/>
  <c r="BV72" i="49" s="1"/>
  <c r="BV73" i="49" s="1"/>
  <c r="BV47" i="44"/>
  <c r="BV48" i="44" s="1"/>
  <c r="BV61" i="44"/>
  <c r="BV62" i="44" s="1"/>
  <c r="BV20" i="49" s="1"/>
  <c r="BV21" i="49" s="1"/>
  <c r="BV24" i="49" s="1"/>
  <c r="BV23" i="44"/>
  <c r="BV25" i="44" s="1"/>
  <c r="BV2" i="28"/>
  <c r="BV2" i="49"/>
  <c r="BV2" i="44"/>
  <c r="BU54" i="44"/>
  <c r="BU49" i="49"/>
  <c r="BU25" i="49"/>
  <c r="BU26" i="49" s="1"/>
  <c r="BU34" i="49"/>
  <c r="BU11" i="49"/>
  <c r="BU12" i="49" s="1"/>
  <c r="BU29" i="49" l="1"/>
  <c r="BU30" i="49" s="1"/>
  <c r="BU33" i="49" s="1"/>
  <c r="BU35" i="49" s="1"/>
  <c r="BU54" i="49" s="1"/>
  <c r="BU44" i="49"/>
  <c r="BV26" i="49"/>
  <c r="BV10" i="28"/>
  <c r="BV15" i="28" s="1"/>
  <c r="BW12" i="28" s="1"/>
  <c r="BV53" i="44"/>
  <c r="BV55" i="44" s="1"/>
  <c r="BV40" i="49"/>
  <c r="BV4" i="28"/>
  <c r="BV4" i="49"/>
  <c r="BV4" i="44"/>
  <c r="BV54" i="44"/>
  <c r="BV49" i="49"/>
  <c r="BV25" i="49"/>
  <c r="BV34" i="49"/>
  <c r="BV11" i="49"/>
  <c r="BV12" i="49" s="1"/>
  <c r="BW32" i="44"/>
  <c r="BW33" i="44" s="1"/>
  <c r="BW64" i="44"/>
  <c r="BW65" i="44" s="1"/>
  <c r="BW72" i="49" s="1"/>
  <c r="BW73" i="49" s="1"/>
  <c r="BW47" i="44"/>
  <c r="BW48" i="44" s="1"/>
  <c r="BW42" i="44"/>
  <c r="BW43" i="44" s="1"/>
  <c r="BW61" i="44"/>
  <c r="BW62" i="44" s="1"/>
  <c r="BW20" i="49" s="1"/>
  <c r="BW21" i="49" s="1"/>
  <c r="BW24" i="49" s="1"/>
  <c r="BW23" i="44"/>
  <c r="BW25" i="44" s="1"/>
  <c r="BW2" i="28"/>
  <c r="BW2" i="49"/>
  <c r="BW2" i="44"/>
  <c r="BX15" i="44"/>
  <c r="BX18" i="44" s="1"/>
  <c r="BX19" i="44" s="1"/>
  <c r="BU43" i="49"/>
  <c r="BU15" i="49"/>
  <c r="BU16" i="49" s="1"/>
  <c r="BU53" i="49" s="1"/>
  <c r="BR42" i="49"/>
  <c r="BR45" i="49" s="1"/>
  <c r="BQ48" i="49"/>
  <c r="BQ50" i="49" s="1"/>
  <c r="BQ55" i="49" s="1"/>
  <c r="BQ56" i="49" s="1"/>
  <c r="BU55" i="44"/>
  <c r="BX32" i="44" l="1"/>
  <c r="BX33" i="44" s="1"/>
  <c r="BX42" i="44"/>
  <c r="BX43" i="44" s="1"/>
  <c r="BX64" i="44"/>
  <c r="BX65" i="44" s="1"/>
  <c r="BX72" i="49" s="1"/>
  <c r="BX73" i="49" s="1"/>
  <c r="BX47" i="44"/>
  <c r="BX48" i="44" s="1"/>
  <c r="BX61" i="44"/>
  <c r="BX62" i="44" s="1"/>
  <c r="BX20" i="49" s="1"/>
  <c r="BX21" i="49" s="1"/>
  <c r="BX24" i="49" s="1"/>
  <c r="BX23" i="44"/>
  <c r="BX25" i="44" s="1"/>
  <c r="BX2" i="28"/>
  <c r="BX2" i="49"/>
  <c r="BX2" i="44"/>
  <c r="BY15" i="44"/>
  <c r="BY18" i="44" s="1"/>
  <c r="BY19" i="44" s="1"/>
  <c r="BW4" i="28"/>
  <c r="BW4" i="44"/>
  <c r="BW4" i="49"/>
  <c r="BW54" i="44"/>
  <c r="BW49" i="49"/>
  <c r="BW25" i="49"/>
  <c r="BW26" i="49" s="1"/>
  <c r="BW34" i="49"/>
  <c r="BW11" i="49"/>
  <c r="BW12" i="49" s="1"/>
  <c r="BV43" i="49"/>
  <c r="BV15" i="49"/>
  <c r="BV16" i="49" s="1"/>
  <c r="BV53" i="49" s="1"/>
  <c r="BU3" i="28"/>
  <c r="BU3" i="49"/>
  <c r="BU3" i="44"/>
  <c r="BS42" i="49"/>
  <c r="BS45" i="49" s="1"/>
  <c r="BR48" i="49"/>
  <c r="BR50" i="49" s="1"/>
  <c r="BR55" i="49" s="1"/>
  <c r="BR56" i="49" s="1"/>
  <c r="BW10" i="28"/>
  <c r="BW15" i="28" s="1"/>
  <c r="BX12" i="28" s="1"/>
  <c r="BW53" i="44"/>
  <c r="BW40" i="49"/>
  <c r="BV3" i="28"/>
  <c r="BV3" i="49"/>
  <c r="BV3" i="44"/>
  <c r="BV29" i="49"/>
  <c r="BV30" i="49" s="1"/>
  <c r="BV33" i="49" s="1"/>
  <c r="BV35" i="49" s="1"/>
  <c r="BV54" i="49" s="1"/>
  <c r="BV44" i="49"/>
  <c r="BW29" i="49" l="1"/>
  <c r="BW30" i="49" s="1"/>
  <c r="BW33" i="49" s="1"/>
  <c r="BW35" i="49" s="1"/>
  <c r="BW54" i="49" s="1"/>
  <c r="BW44" i="49"/>
  <c r="BY32" i="44"/>
  <c r="BY33" i="44" s="1"/>
  <c r="BY64" i="44"/>
  <c r="BY65" i="44" s="1"/>
  <c r="BY72" i="49" s="1"/>
  <c r="BY73" i="49" s="1"/>
  <c r="BY47" i="44"/>
  <c r="BY48" i="44" s="1"/>
  <c r="H48" i="44" s="1"/>
  <c r="BY42" i="44"/>
  <c r="BY43" i="44" s="1"/>
  <c r="BY61" i="44"/>
  <c r="BY23" i="44"/>
  <c r="BY25" i="44" s="1"/>
  <c r="BY2" i="28"/>
  <c r="BY2" i="49"/>
  <c r="BY2" i="44"/>
  <c r="BW55" i="44"/>
  <c r="BT42" i="49"/>
  <c r="BT45" i="49" s="1"/>
  <c r="BS48" i="49"/>
  <c r="BS50" i="49" s="1"/>
  <c r="BS55" i="49" s="1"/>
  <c r="BS56" i="49" s="1"/>
  <c r="BX10" i="28"/>
  <c r="BX15" i="28" s="1"/>
  <c r="BY12" i="28" s="1"/>
  <c r="BX53" i="44"/>
  <c r="BX40" i="49"/>
  <c r="BW43" i="49"/>
  <c r="BW15" i="49"/>
  <c r="BW16" i="49" s="1"/>
  <c r="BW53" i="49" s="1"/>
  <c r="BX4" i="28"/>
  <c r="BX4" i="49"/>
  <c r="BX4" i="44"/>
  <c r="BX54" i="44"/>
  <c r="BX49" i="49"/>
  <c r="BX25" i="49"/>
  <c r="BX26" i="49" s="1"/>
  <c r="BX34" i="49"/>
  <c r="BX11" i="49"/>
  <c r="BX12" i="49" s="1"/>
  <c r="BX29" i="49" l="1"/>
  <c r="BX30" i="49" s="1"/>
  <c r="BX33" i="49" s="1"/>
  <c r="BX35" i="49" s="1"/>
  <c r="BX54" i="49" s="1"/>
  <c r="BX44" i="49"/>
  <c r="BY4" i="28"/>
  <c r="BY4" i="44"/>
  <c r="BY4" i="49"/>
  <c r="BY54" i="44"/>
  <c r="BY49" i="49"/>
  <c r="BY25" i="49"/>
  <c r="BY34" i="49"/>
  <c r="BY11" i="49"/>
  <c r="BY12" i="49" s="1"/>
  <c r="H43" i="44"/>
  <c r="BX43" i="49"/>
  <c r="BX15" i="49"/>
  <c r="BX16" i="49" s="1"/>
  <c r="BX53" i="49" s="1"/>
  <c r="BX55" i="44"/>
  <c r="BU42" i="49"/>
  <c r="BU45" i="49" s="1"/>
  <c r="BT48" i="49"/>
  <c r="BT50" i="49" s="1"/>
  <c r="BT55" i="49" s="1"/>
  <c r="BT56" i="49" s="1"/>
  <c r="BZ62" i="44"/>
  <c r="BY62" i="44"/>
  <c r="BY20" i="49" s="1"/>
  <c r="BY21" i="49" s="1"/>
  <c r="BY10" i="28"/>
  <c r="BY15" i="28" s="1"/>
  <c r="BY53" i="44"/>
  <c r="BY40" i="49"/>
  <c r="H33" i="44"/>
  <c r="BW3" i="28"/>
  <c r="BW3" i="49"/>
  <c r="BW3" i="44"/>
  <c r="H53" i="44" l="1"/>
  <c r="H10" i="28"/>
  <c r="H40" i="49"/>
  <c r="BY55" i="44"/>
  <c r="BY24" i="49"/>
  <c r="BY26" i="49" s="1"/>
  <c r="H21" i="49"/>
  <c r="H24" i="49" s="1"/>
  <c r="BX3" i="28"/>
  <c r="BX3" i="49"/>
  <c r="BX3" i="44"/>
  <c r="H54" i="44"/>
  <c r="H49" i="49"/>
  <c r="H25" i="49"/>
  <c r="H34" i="49"/>
  <c r="H11" i="49"/>
  <c r="BV42" i="49"/>
  <c r="BV45" i="49" s="1"/>
  <c r="BU48" i="49"/>
  <c r="BU50" i="49" s="1"/>
  <c r="BU55" i="49" s="1"/>
  <c r="BU56" i="49" s="1"/>
  <c r="BY43" i="49"/>
  <c r="BY15" i="49"/>
  <c r="BY16" i="49" s="1"/>
  <c r="H12" i="49"/>
  <c r="BW42" i="49" l="1"/>
  <c r="BW45" i="49" s="1"/>
  <c r="BV48" i="49"/>
  <c r="BV50" i="49" s="1"/>
  <c r="BV55" i="49" s="1"/>
  <c r="BV56" i="49" s="1"/>
  <c r="BY53" i="49"/>
  <c r="H16" i="49"/>
  <c r="H53" i="49" s="1"/>
  <c r="BY3" i="28"/>
  <c r="BY3" i="49"/>
  <c r="BY3" i="44"/>
  <c r="H43" i="49"/>
  <c r="H15" i="49"/>
  <c r="BY29" i="49"/>
  <c r="BY30" i="49" s="1"/>
  <c r="BY44" i="49"/>
  <c r="H26" i="49"/>
  <c r="BX42" i="49" l="1"/>
  <c r="BX45" i="49" s="1"/>
  <c r="BW48" i="49"/>
  <c r="BW50" i="49" s="1"/>
  <c r="BW55" i="49" s="1"/>
  <c r="BW56" i="49" s="1"/>
  <c r="H44" i="49"/>
  <c r="H29" i="49"/>
  <c r="BY33" i="49"/>
  <c r="BY35" i="49" s="1"/>
  <c r="H30" i="49"/>
  <c r="H33" i="49" s="1"/>
  <c r="BY54" i="49" l="1"/>
  <c r="H35" i="49"/>
  <c r="H54" i="49" s="1"/>
  <c r="BY42" i="49"/>
  <c r="BY45" i="49" s="1"/>
  <c r="BY48" i="49" s="1"/>
  <c r="BY50" i="49" s="1"/>
  <c r="BX48" i="49"/>
  <c r="BX50" i="49" s="1"/>
  <c r="BX55" i="49" s="1"/>
  <c r="BX56" i="49" s="1"/>
  <c r="BY55" i="49" l="1"/>
  <c r="H50" i="49"/>
  <c r="H55" i="49" s="1"/>
  <c r="BY56" i="49"/>
  <c r="H56" i="49" s="1"/>
</calcChain>
</file>

<file path=xl/comments1.xml><?xml version="1.0" encoding="utf-8"?>
<comments xmlns="http://schemas.openxmlformats.org/spreadsheetml/2006/main">
  <authors>
    <author>Malcolm Speight</author>
  </authors>
  <commentList>
    <comment ref="E32" authorId="0">
      <text>
        <r>
          <rPr>
            <b/>
            <sz val="9"/>
            <color indexed="81"/>
            <rFont val="Tahoma"/>
            <family val="2"/>
          </rPr>
          <t>Malcolm Speight:</t>
        </r>
        <r>
          <rPr>
            <sz val="9"/>
            <color indexed="81"/>
            <rFont val="Tahoma"/>
            <family val="2"/>
          </rPr>
          <t xml:space="preserve">
Price hard keyed - may want to rework later</t>
        </r>
      </text>
    </comment>
  </commentList>
</comments>
</file>

<file path=xl/sharedStrings.xml><?xml version="1.0" encoding="utf-8"?>
<sst xmlns="http://schemas.openxmlformats.org/spreadsheetml/2006/main" count="155" uniqueCount="98">
  <si>
    <t>[increases in balance]</t>
  </si>
  <si>
    <t>[reductions in balance]</t>
  </si>
  <si>
    <t>Model column counter</t>
  </si>
  <si>
    <t>First model column flag</t>
  </si>
  <si>
    <t>Acquisition / initial balance date flag</t>
  </si>
  <si>
    <t>Length of forecast period</t>
  </si>
  <si>
    <t>years</t>
  </si>
  <si>
    <t>Last forecast date</t>
  </si>
  <si>
    <t>[xxx] balance BEG</t>
  </si>
  <si>
    <t>Last forecast period flag</t>
  </si>
  <si>
    <t xml:space="preserve"> </t>
  </si>
  <si>
    <t>FLAGS</t>
  </si>
  <si>
    <t>TIME RULER</t>
  </si>
  <si>
    <t>TIMING ASSUMPTIONS</t>
  </si>
  <si>
    <t>[xxx] - Initial balance</t>
  </si>
  <si>
    <t>[xxx] balance</t>
  </si>
  <si>
    <t>flag</t>
  </si>
  <si>
    <t>date</t>
  </si>
  <si>
    <t>BALANCE</t>
  </si>
  <si>
    <t>Forecast period flag</t>
  </si>
  <si>
    <t>Opening balance sheet date</t>
  </si>
  <si>
    <t>Gate fees</t>
  </si>
  <si>
    <t>tonnes</t>
  </si>
  <si>
    <t>Waste received per month</t>
  </si>
  <si>
    <t>Forecast waste received</t>
  </si>
  <si>
    <t>Gate fee charge</t>
  </si>
  <si>
    <t>EUR</t>
  </si>
  <si>
    <t>Forecast gate fee revenue</t>
  </si>
  <si>
    <t>Off take revenue</t>
  </si>
  <si>
    <t>Hours in day</t>
  </si>
  <si>
    <t>hours</t>
  </si>
  <si>
    <t>Hours in period</t>
  </si>
  <si>
    <t>days</t>
  </si>
  <si>
    <t>Waste processed per hour</t>
  </si>
  <si>
    <t>Calorific value of waste</t>
  </si>
  <si>
    <t>Electricity produced from waste</t>
  </si>
  <si>
    <t>MWh</t>
  </si>
  <si>
    <t>[Electricity price]</t>
  </si>
  <si>
    <t>Forecast offtake revenue</t>
  </si>
  <si>
    <t>Waste treatment costs</t>
  </si>
  <si>
    <t>Biomass waste - Initial balance</t>
  </si>
  <si>
    <t>Biomass waste balance BEG</t>
  </si>
  <si>
    <t>Biomass waste balance</t>
  </si>
  <si>
    <t>Forecast waste processed</t>
  </si>
  <si>
    <t>Waste treatment charge</t>
  </si>
  <si>
    <t>Forecast waste treatment cost</t>
  </si>
  <si>
    <t>Net forecast revenue</t>
  </si>
  <si>
    <t>counter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</si>
  <si>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</si>
  <si>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</si>
  <si>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</si>
  <si>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</si>
  <si>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</si>
  <si>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</si>
  <si>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</si>
  <si>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</si>
  <si>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</si>
  <si>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</si>
  <si>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</si>
  <si>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</si>
  <si>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 number</t>
  </si>
  <si>
    <t>Electricity price</t>
  </si>
  <si>
    <t>Constant</t>
  </si>
  <si>
    <t>Unit</t>
  </si>
  <si>
    <t>Total</t>
  </si>
  <si>
    <t xml:space="preserve">  </t>
  </si>
  <si>
    <t>label</t>
  </si>
  <si>
    <t>Financial year end month number</t>
  </si>
  <si>
    <t>month #</t>
  </si>
  <si>
    <t>Financial year ending</t>
  </si>
  <si>
    <t>year #</t>
  </si>
  <si>
    <t>First modelling column financial year number</t>
  </si>
  <si>
    <t>DAYS IN PERIOD</t>
  </si>
  <si>
    <t>Days in period</t>
  </si>
  <si>
    <t>Month</t>
  </si>
  <si>
    <t>Price</t>
  </si>
  <si>
    <t>Electricity price alternative</t>
  </si>
  <si>
    <t>plus</t>
  </si>
  <si>
    <t>less</t>
  </si>
  <si>
    <t xml:space="preserve">Model period ending </t>
  </si>
  <si>
    <t>NET REVENUE</t>
  </si>
  <si>
    <t>Summary</t>
  </si>
  <si>
    <t>Months per model period</t>
  </si>
  <si>
    <t>months</t>
  </si>
  <si>
    <t xml:space="preserve">Model period beginning </t>
  </si>
  <si>
    <t>EUR / tonne</t>
  </si>
  <si>
    <t>MWh / tonne</t>
  </si>
  <si>
    <t>EUR / MWh</t>
  </si>
  <si>
    <t xml:space="preserve">EUR / tonne </t>
  </si>
  <si>
    <t>1st model column start date</t>
  </si>
  <si>
    <t>PRE-FORECAST VS FORECAST</t>
  </si>
  <si>
    <t>Pre-forecast vs forecast</t>
  </si>
  <si>
    <t>Error chks</t>
  </si>
  <si>
    <t>Track chgs</t>
  </si>
  <si>
    <t>Alerts</t>
  </si>
  <si>
    <t>D%$&amp;01_277a6df66e6b45be9564d92fab9c3b87</t>
  </si>
  <si>
    <t>Windows User_7132__Windows (32-bit) NT 6.02_LENOVO_Mr A Berkley$$$17102014</t>
  </si>
  <si>
    <t>"Ug1!7530"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</si>
</sst>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(&quot;£&quot;* #,##0_);_(&quot;£&quot;* \(#,##0\);_(&quot;£&quot;* &quot;-&quot;_);_(@_)"/>
    <numFmt numFmtId="41" formatCode="_(* #,##0_);_(* \(#,##0\);_(* &quot;-&quot;_);_(@_)"/>
    <numFmt numFmtId="44" formatCode="_(&quot;£&quot;* #,##0.00_);_(&quot;£&quot;* \(#,##0.00\);_(&quot;£&quot;* &quot;-&quot;??_);_(@_)"/>
    <numFmt numFmtId="164" formatCode="#,##0_);\(#,##0\);&quot;-  &quot;;&quot; &quot;@"/>
    <numFmt numFmtId="165" formatCode="#,##0.0000_);\(#,##0.0000\);&quot;-  &quot;;&quot; &quot;@"/>
    <numFmt numFmtId="166" formatCode="0.00%_);\-0.00%_);&quot;-  &quot;;&quot; &quot;@"/>
    <numFmt numFmtId="167" formatCode="#,##0.00_);\(#,##0.00\);&quot;-  &quot;;&quot; &quot;@"/>
    <numFmt numFmtId="168" formatCode="0.0"/>
    <numFmt numFmtId="169" formatCode="dd\ mmm\ yy_);;&quot;-  &quot;;&quot; &quot;@"/>
    <numFmt numFmtId="170" formatCode="###0_);\(#,##0\);&quot;-  &quot;;&quot; &quot;@"/>
    <numFmt numFmtId="171" formatCode="dd\ mmm\ yyyy_);;&quot;-  &quot;;&quot; &quot;@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0000FF"/>
      <name val="Arial"/>
      <family val="2"/>
    </font>
    <font>
      <u/>
      <sz val="10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u/>
      <sz val="10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1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</borders>
  <cellStyleXfs count="9">
    <xf numFmtId="164" fontId="0" fillId="0" borderId="0" applyFont="0" applyFill="0" applyBorder="0" applyProtection="0">
      <alignment vertical="top"/>
    </xf>
    <xf numFmtId="171" fontId="1" fillId="0" borderId="0" applyFont="0" applyFill="0" applyBorder="0" applyProtection="0">
      <alignment vertical="top"/>
    </xf>
    <xf numFmtId="169" fontId="1" fillId="0" borderId="0" applyFont="0" applyFill="0" applyBorder="0" applyProtection="0">
      <alignment vertical="top"/>
    </xf>
    <xf numFmtId="165" fontId="1" fillId="0" borderId="0" applyFont="0" applyFill="0" applyBorder="0" applyProtection="0">
      <alignment vertical="top"/>
    </xf>
    <xf numFmtId="166" fontId="1" fillId="0" borderId="0" applyFont="0" applyFill="0" applyBorder="0" applyProtection="0">
      <alignment vertical="top"/>
    </xf>
    <xf numFmtId="41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164" fontId="23" fillId="0" borderId="0" applyFont="0" applyFill="0" applyBorder="0" applyProtection="0">
      <alignment vertical="top"/>
    </xf>
  </cellStyleXfs>
  <cellXfs count="163">
    <xf numFmtId="164" fontId="0" fillId="0" borderId="0" xfId="0" applyAlignment="1">
      <alignment vertical="top"/>
    </xf>
    <xf numFmtId="166" fontId="11" fillId="0" borderId="0" xfId="4" applyFont="1" applyFill="1" applyAlignment="1">
      <alignment vertical="top"/>
    </xf>
    <xf numFmtId="164" fontId="11" fillId="0" borderId="0" xfId="0" applyFont="1" applyAlignment="1">
      <alignment vertical="top"/>
    </xf>
    <xf numFmtId="164" fontId="11" fillId="0" borderId="0" xfId="0" applyFont="1">
      <alignment vertical="top"/>
    </xf>
    <xf numFmtId="164" fontId="11" fillId="0" borderId="1" xfId="0" applyFont="1" applyBorder="1" applyAlignment="1">
      <alignment vertical="top"/>
    </xf>
    <xf numFmtId="164" fontId="5" fillId="0" borderId="0" xfId="0" applyFont="1" applyFill="1" applyAlignment="1">
      <alignment vertical="top"/>
    </xf>
    <xf numFmtId="164" fontId="3" fillId="0" borderId="0" xfId="0" applyFont="1" applyAlignment="1">
      <alignment horizontal="right" vertical="top"/>
    </xf>
    <xf numFmtId="164" fontId="3" fillId="0" borderId="0" xfId="0" applyFont="1" applyAlignment="1">
      <alignment vertical="top"/>
    </xf>
    <xf numFmtId="164" fontId="5" fillId="0" borderId="0" xfId="0" applyFont="1" applyBorder="1" applyAlignment="1">
      <alignment vertical="top"/>
    </xf>
    <xf numFmtId="164" fontId="6" fillId="0" borderId="0" xfId="0" applyFont="1" applyBorder="1" applyAlignment="1">
      <alignment vertical="top"/>
    </xf>
    <xf numFmtId="164" fontId="5" fillId="0" borderId="0" xfId="0" applyFont="1" applyAlignment="1">
      <alignment vertical="top"/>
    </xf>
    <xf numFmtId="164" fontId="7" fillId="0" borderId="0" xfId="0" applyFont="1" applyBorder="1" applyAlignment="1">
      <alignment vertical="top"/>
    </xf>
    <xf numFmtId="164" fontId="6" fillId="0" borderId="0" xfId="0" applyFont="1" applyFill="1" applyAlignment="1">
      <alignment vertical="top"/>
    </xf>
    <xf numFmtId="164" fontId="0" fillId="0" borderId="0" xfId="0" applyFont="1" applyFill="1" applyAlignment="1">
      <alignment horizontal="right" vertical="top"/>
    </xf>
    <xf numFmtId="164" fontId="0" fillId="0" borderId="0" xfId="0" applyFont="1" applyFill="1" applyAlignment="1">
      <alignment vertical="top"/>
    </xf>
    <xf numFmtId="164" fontId="1" fillId="0" borderId="0" xfId="0" applyFont="1" applyFill="1" applyAlignment="1">
      <alignment vertical="top"/>
    </xf>
    <xf numFmtId="169" fontId="5" fillId="0" borderId="0" xfId="2" applyFont="1" applyFill="1" applyAlignment="1">
      <alignment vertical="top"/>
    </xf>
    <xf numFmtId="169" fontId="0" fillId="0" borderId="0" xfId="2" applyFont="1" applyAlignment="1">
      <alignment vertical="top"/>
    </xf>
    <xf numFmtId="169" fontId="0" fillId="0" borderId="0" xfId="2" applyFont="1" applyFill="1" applyAlignment="1">
      <alignment vertical="top"/>
    </xf>
    <xf numFmtId="171" fontId="3" fillId="2" borderId="0" xfId="1" applyFont="1" applyFill="1" applyAlignment="1">
      <alignment vertical="top"/>
    </xf>
    <xf numFmtId="171" fontId="5" fillId="0" borderId="0" xfId="1" applyFont="1" applyFill="1" applyAlignment="1">
      <alignment vertical="top"/>
    </xf>
    <xf numFmtId="169" fontId="0" fillId="0" borderId="0" xfId="2" applyFont="1" applyAlignment="1">
      <alignment horizontal="right" vertical="top"/>
    </xf>
    <xf numFmtId="171" fontId="6" fillId="0" borderId="0" xfId="1" applyFont="1" applyFill="1" applyAlignment="1">
      <alignment vertical="top"/>
    </xf>
    <xf numFmtId="171" fontId="3" fillId="0" borderId="0" xfId="1" applyFont="1" applyFill="1" applyAlignment="1">
      <alignment horizontal="right" vertical="top"/>
    </xf>
    <xf numFmtId="171" fontId="3" fillId="0" borderId="0" xfId="1" applyFont="1" applyFill="1" applyAlignment="1">
      <alignment vertical="top"/>
    </xf>
    <xf numFmtId="164" fontId="8" fillId="0" borderId="0" xfId="0" applyFont="1" applyBorder="1" applyAlignment="1">
      <alignment vertical="top"/>
    </xf>
    <xf numFmtId="164" fontId="9" fillId="0" borderId="0" xfId="0" applyFont="1" applyBorder="1" applyAlignment="1">
      <alignment vertical="top"/>
    </xf>
    <xf numFmtId="169" fontId="3" fillId="0" borderId="0" xfId="2" applyFont="1" applyFill="1" applyAlignment="1">
      <alignment vertical="top"/>
    </xf>
    <xf numFmtId="169" fontId="6" fillId="0" borderId="0" xfId="2" applyFont="1" applyFill="1" applyAlignment="1">
      <alignment vertical="top"/>
    </xf>
    <xf numFmtId="169" fontId="3" fillId="0" borderId="0" xfId="2" applyFont="1" applyFill="1" applyAlignment="1">
      <alignment horizontal="right" vertical="top"/>
    </xf>
    <xf numFmtId="164" fontId="0" fillId="2" borderId="0" xfId="0" applyFont="1" applyFill="1" applyAlignment="1">
      <alignment vertical="top"/>
    </xf>
    <xf numFmtId="164" fontId="5" fillId="3" borderId="0" xfId="0" applyFont="1" applyFill="1" applyBorder="1" applyAlignment="1">
      <alignment vertical="top"/>
    </xf>
    <xf numFmtId="164" fontId="6" fillId="3" borderId="0" xfId="0" applyFont="1" applyFill="1" applyBorder="1" applyAlignment="1">
      <alignment vertical="top"/>
    </xf>
    <xf numFmtId="164" fontId="5" fillId="0" borderId="2" xfId="0" applyFont="1" applyBorder="1" applyAlignment="1">
      <alignment vertical="top"/>
    </xf>
    <xf numFmtId="164" fontId="6" fillId="0" borderId="2" xfId="0" applyFont="1" applyBorder="1" applyAlignment="1">
      <alignment vertical="top"/>
    </xf>
    <xf numFmtId="164" fontId="11" fillId="0" borderId="0" xfId="0" applyFont="1" applyBorder="1" applyAlignment="1">
      <alignment vertical="top"/>
    </xf>
    <xf numFmtId="164" fontId="11" fillId="0" borderId="0" xfId="0" applyFont="1" applyFill="1" applyAlignment="1">
      <alignment vertical="top"/>
    </xf>
    <xf numFmtId="164" fontId="11" fillId="0" borderId="0" xfId="0" applyFont="1" applyFill="1" applyBorder="1" applyAlignment="1">
      <alignment vertical="top"/>
    </xf>
    <xf numFmtId="164" fontId="11" fillId="0" borderId="0" xfId="0" applyFont="1" applyAlignment="1">
      <alignment horizontal="right" vertical="top"/>
    </xf>
    <xf numFmtId="164" fontId="11" fillId="0" borderId="0" xfId="0" applyFont="1" applyFill="1" applyAlignment="1">
      <alignment horizontal="right" vertical="top"/>
    </xf>
    <xf numFmtId="164" fontId="11" fillId="0" borderId="0" xfId="0" applyFont="1" applyBorder="1" applyAlignment="1">
      <alignment horizontal="right" vertical="top"/>
    </xf>
    <xf numFmtId="164" fontId="11" fillId="0" borderId="2" xfId="0" applyFont="1" applyBorder="1" applyAlignment="1">
      <alignment horizontal="right" vertical="top"/>
    </xf>
    <xf numFmtId="164" fontId="11" fillId="3" borderId="2" xfId="0" applyFont="1" applyFill="1" applyBorder="1" applyAlignment="1">
      <alignment vertical="top"/>
    </xf>
    <xf numFmtId="164" fontId="11" fillId="0" borderId="2" xfId="0" applyFont="1" applyFill="1" applyBorder="1" applyAlignment="1">
      <alignment vertical="top"/>
    </xf>
    <xf numFmtId="164" fontId="11" fillId="0" borderId="2" xfId="0" applyFont="1" applyBorder="1" applyAlignment="1">
      <alignment vertical="top"/>
    </xf>
    <xf numFmtId="164" fontId="11" fillId="3" borderId="0" xfId="0" applyFont="1" applyFill="1" applyBorder="1" applyAlignment="1">
      <alignment vertical="top"/>
    </xf>
    <xf numFmtId="164" fontId="11" fillId="3" borderId="0" xfId="0" applyFont="1" applyFill="1" applyBorder="1" applyAlignment="1">
      <alignment horizontal="right" vertical="top"/>
    </xf>
    <xf numFmtId="164" fontId="7" fillId="0" borderId="0" xfId="0" applyFont="1" applyBorder="1" applyAlignment="1">
      <alignment horizontal="right" vertical="top"/>
    </xf>
    <xf numFmtId="164" fontId="11" fillId="2" borderId="0" xfId="0" applyFont="1" applyFill="1" applyAlignment="1">
      <alignment vertical="top"/>
    </xf>
    <xf numFmtId="164" fontId="11" fillId="3" borderId="0" xfId="0" applyFont="1" applyFill="1" applyAlignment="1">
      <alignment vertical="top"/>
    </xf>
    <xf numFmtId="164" fontId="5" fillId="0" borderId="0" xfId="0" applyFont="1" applyFill="1" applyBorder="1" applyAlignment="1">
      <alignment vertical="top"/>
    </xf>
    <xf numFmtId="164" fontId="6" fillId="0" borderId="0" xfId="0" applyFont="1" applyFill="1" applyBorder="1" applyAlignment="1">
      <alignment vertical="top"/>
    </xf>
    <xf numFmtId="164" fontId="11" fillId="2" borderId="2" xfId="0" applyFont="1" applyFill="1" applyBorder="1" applyAlignment="1">
      <alignment vertical="top"/>
    </xf>
    <xf numFmtId="164" fontId="11" fillId="0" borderId="0" xfId="0" applyFont="1" applyFill="1" applyBorder="1" applyAlignment="1">
      <alignment horizontal="right" vertical="top"/>
    </xf>
    <xf numFmtId="164" fontId="1" fillId="0" borderId="0" xfId="0" applyFont="1" applyFill="1" applyAlignment="1">
      <alignment horizontal="right" vertical="top"/>
    </xf>
    <xf numFmtId="164" fontId="3" fillId="0" borderId="0" xfId="0" applyFont="1" applyFill="1" applyBorder="1" applyAlignment="1">
      <alignment vertical="top"/>
    </xf>
    <xf numFmtId="164" fontId="3" fillId="0" borderId="0" xfId="0" applyFont="1" applyFill="1" applyBorder="1" applyAlignment="1">
      <alignment horizontal="right" vertical="top"/>
    </xf>
    <xf numFmtId="169" fontId="5" fillId="0" borderId="0" xfId="2" applyFont="1" applyFill="1" applyBorder="1" applyAlignment="1">
      <alignment vertical="top"/>
    </xf>
    <xf numFmtId="169" fontId="10" fillId="0" borderId="0" xfId="2" applyFont="1" applyFill="1" applyBorder="1" applyAlignment="1">
      <alignment vertical="top"/>
    </xf>
    <xf numFmtId="169" fontId="5" fillId="0" borderId="0" xfId="2" applyFont="1" applyFill="1" applyBorder="1" applyAlignment="1">
      <alignment horizontal="right" vertical="top"/>
    </xf>
    <xf numFmtId="164" fontId="0" fillId="0" borderId="0" xfId="0" applyFont="1" applyFill="1" applyBorder="1" applyAlignment="1">
      <alignment horizontal="right" vertical="top"/>
    </xf>
    <xf numFmtId="164" fontId="0" fillId="0" borderId="0" xfId="0" applyFont="1" applyFill="1" applyBorder="1" applyAlignment="1">
      <alignment vertical="top"/>
    </xf>
    <xf numFmtId="164" fontId="7" fillId="0" borderId="0" xfId="0" applyFont="1" applyFill="1" applyBorder="1" applyAlignment="1">
      <alignment vertical="top"/>
    </xf>
    <xf numFmtId="164" fontId="3" fillId="0" borderId="0" xfId="0" applyFont="1" applyFill="1" applyAlignment="1">
      <alignment horizontal="right" vertical="top"/>
    </xf>
    <xf numFmtId="164" fontId="3" fillId="0" borderId="0" xfId="0" applyFont="1" applyFill="1" applyAlignment="1">
      <alignment vertical="top"/>
    </xf>
    <xf numFmtId="169" fontId="0" fillId="0" borderId="0" xfId="2" applyFont="1" applyFill="1" applyAlignment="1">
      <alignment horizontal="right" vertical="top"/>
    </xf>
    <xf numFmtId="164" fontId="1" fillId="0" borderId="0" xfId="0" applyFont="1" applyFill="1" applyBorder="1" applyAlignment="1">
      <alignment vertical="top"/>
    </xf>
    <xf numFmtId="169" fontId="3" fillId="0" borderId="0" xfId="2" applyFont="1" applyFill="1" applyBorder="1" applyAlignment="1">
      <alignment vertical="top"/>
    </xf>
    <xf numFmtId="169" fontId="5" fillId="0" borderId="0" xfId="2" applyFont="1">
      <alignment vertical="top"/>
    </xf>
    <xf numFmtId="169" fontId="5" fillId="0" borderId="0" xfId="2" applyFont="1" applyFill="1">
      <alignment vertical="top"/>
    </xf>
    <xf numFmtId="169" fontId="10" fillId="0" borderId="0" xfId="2" applyFont="1" applyFill="1">
      <alignment vertical="top"/>
    </xf>
    <xf numFmtId="169" fontId="3" fillId="0" borderId="0" xfId="2" applyFont="1">
      <alignment vertical="top"/>
    </xf>
    <xf numFmtId="164" fontId="4" fillId="0" borderId="0" xfId="0" applyFont="1" applyFill="1" applyAlignment="1">
      <alignment vertical="top"/>
    </xf>
    <xf numFmtId="170" fontId="3" fillId="0" borderId="0" xfId="0" applyNumberFormat="1" applyFont="1" applyFill="1">
      <alignment vertical="top"/>
    </xf>
    <xf numFmtId="164" fontId="5" fillId="0" borderId="0" xfId="0" applyFont="1" applyFill="1">
      <alignment vertical="top"/>
    </xf>
    <xf numFmtId="164" fontId="3" fillId="0" borderId="0" xfId="0" applyFont="1" applyFill="1">
      <alignment vertical="top"/>
    </xf>
    <xf numFmtId="164" fontId="3" fillId="2" borderId="0" xfId="0" applyFont="1" applyFill="1">
      <alignment vertical="top"/>
    </xf>
    <xf numFmtId="169" fontId="4" fillId="0" borderId="0" xfId="2" applyFont="1" applyAlignment="1">
      <alignment vertical="top"/>
    </xf>
    <xf numFmtId="164" fontId="4" fillId="0" borderId="0" xfId="0" applyFont="1">
      <alignment vertical="top"/>
    </xf>
    <xf numFmtId="164" fontId="0" fillId="0" borderId="0" xfId="0" applyFont="1">
      <alignment vertical="top"/>
    </xf>
    <xf numFmtId="164" fontId="0" fillId="4" borderId="0" xfId="0" applyFont="1" applyFill="1">
      <alignment vertical="top"/>
    </xf>
    <xf numFmtId="164" fontId="0" fillId="0" borderId="0" xfId="0" applyFont="1" applyFill="1">
      <alignment vertical="top"/>
    </xf>
    <xf numFmtId="164" fontId="14" fillId="0" borderId="0" xfId="0" applyFont="1" applyFill="1" applyAlignment="1">
      <alignment vertical="top"/>
    </xf>
    <xf numFmtId="169" fontId="11" fillId="0" borderId="0" xfId="2" applyFont="1" applyFill="1" applyAlignment="1">
      <alignment horizontal="right" vertical="top"/>
    </xf>
    <xf numFmtId="169" fontId="11" fillId="0" borderId="0" xfId="2" applyFont="1" applyFill="1" applyAlignment="1">
      <alignment vertical="top"/>
    </xf>
    <xf numFmtId="169" fontId="11" fillId="4" borderId="0" xfId="2" applyFont="1" applyFill="1" applyAlignment="1">
      <alignment vertical="top"/>
    </xf>
    <xf numFmtId="164" fontId="5" fillId="0" borderId="1" xfId="0" applyFont="1" applyBorder="1" applyAlignment="1">
      <alignment vertical="top"/>
    </xf>
    <xf numFmtId="164" fontId="6" fillId="0" borderId="1" xfId="0" applyFont="1" applyBorder="1" applyAlignment="1">
      <alignment vertical="top"/>
    </xf>
    <xf numFmtId="164" fontId="11" fillId="0" borderId="1" xfId="0" applyFont="1" applyBorder="1" applyAlignment="1">
      <alignment horizontal="right" vertical="top"/>
    </xf>
    <xf numFmtId="164" fontId="11" fillId="0" borderId="1" xfId="0" applyFont="1" applyFill="1" applyBorder="1" applyAlignment="1">
      <alignment vertical="top"/>
    </xf>
    <xf numFmtId="164" fontId="11" fillId="4" borderId="1" xfId="0" applyFont="1" applyFill="1" applyBorder="1" applyAlignment="1">
      <alignment vertical="top"/>
    </xf>
    <xf numFmtId="164" fontId="11" fillId="3" borderId="1" xfId="0" applyFont="1" applyFill="1" applyBorder="1" applyAlignment="1">
      <alignment vertical="top"/>
    </xf>
    <xf numFmtId="167" fontId="5" fillId="0" borderId="0" xfId="3" applyNumberFormat="1" applyFont="1">
      <alignment vertical="top"/>
    </xf>
    <xf numFmtId="167" fontId="5" fillId="0" borderId="0" xfId="3" applyNumberFormat="1" applyFont="1" applyFill="1">
      <alignment vertical="top"/>
    </xf>
    <xf numFmtId="167" fontId="6" fillId="0" borderId="0" xfId="3" applyNumberFormat="1" applyFont="1" applyFill="1">
      <alignment vertical="top"/>
    </xf>
    <xf numFmtId="167" fontId="11" fillId="0" borderId="0" xfId="3" applyNumberFormat="1" applyFont="1">
      <alignment vertical="top"/>
    </xf>
    <xf numFmtId="169" fontId="4" fillId="0" borderId="0" xfId="2" applyFont="1" applyFill="1" applyAlignment="1">
      <alignment vertical="top"/>
    </xf>
    <xf numFmtId="171" fontId="3" fillId="0" borderId="0" xfId="1" applyFont="1" applyAlignment="1">
      <alignment vertical="top"/>
    </xf>
    <xf numFmtId="171" fontId="11" fillId="0" borderId="0" xfId="1" applyFont="1" applyFill="1" applyAlignment="1">
      <alignment horizontal="right" vertical="top"/>
    </xf>
    <xf numFmtId="171" fontId="11" fillId="0" borderId="0" xfId="1" applyFont="1" applyFill="1" applyAlignment="1">
      <alignment vertical="top"/>
    </xf>
    <xf numFmtId="169" fontId="5" fillId="0" borderId="0" xfId="2" applyFont="1" applyAlignment="1">
      <alignment horizontal="right" vertical="top"/>
    </xf>
    <xf numFmtId="167" fontId="11" fillId="0" borderId="0" xfId="3" applyNumberFormat="1" applyFont="1" applyAlignment="1">
      <alignment horizontal="right" vertical="top"/>
    </xf>
    <xf numFmtId="164" fontId="5" fillId="0" borderId="0" xfId="0" applyFont="1" applyAlignment="1">
      <alignment horizontal="right" vertical="top"/>
    </xf>
    <xf numFmtId="164" fontId="1" fillId="2" borderId="0" xfId="0" applyFont="1" applyFill="1" applyAlignment="1">
      <alignment vertical="top"/>
    </xf>
    <xf numFmtId="164" fontId="4" fillId="0" borderId="0" xfId="0" applyFont="1" applyAlignment="1">
      <alignment horizontal="right" vertical="top"/>
    </xf>
    <xf numFmtId="164" fontId="4" fillId="0" borderId="0" xfId="0" applyFont="1" applyAlignment="1">
      <alignment horizontal="left" vertical="top"/>
    </xf>
    <xf numFmtId="168" fontId="5" fillId="0" borderId="0" xfId="0" applyNumberFormat="1" applyFont="1" applyFill="1" applyAlignment="1">
      <alignment vertical="top"/>
    </xf>
    <xf numFmtId="168" fontId="6" fillId="0" borderId="0" xfId="0" applyNumberFormat="1" applyFont="1" applyFill="1" applyAlignment="1">
      <alignment vertical="top"/>
    </xf>
    <xf numFmtId="168" fontId="11" fillId="0" borderId="0" xfId="0" applyNumberFormat="1" applyFont="1" applyFill="1" applyAlignment="1">
      <alignment horizontal="right" vertical="top"/>
    </xf>
    <xf numFmtId="168" fontId="11" fillId="0" borderId="0" xfId="0" applyNumberFormat="1" applyFont="1" applyFill="1" applyAlignment="1">
      <alignment vertical="top"/>
    </xf>
    <xf numFmtId="168" fontId="11" fillId="4" borderId="0" xfId="0" applyNumberFormat="1" applyFont="1" applyFill="1" applyAlignment="1">
      <alignment vertical="top"/>
    </xf>
    <xf numFmtId="169" fontId="4" fillId="0" borderId="0" xfId="2" applyFont="1" applyFill="1">
      <alignment vertical="top"/>
    </xf>
    <xf numFmtId="169" fontId="1" fillId="0" borderId="0" xfId="2" applyFont="1">
      <alignment vertical="top"/>
    </xf>
    <xf numFmtId="164" fontId="14" fillId="0" borderId="0" xfId="0" applyFont="1" applyAlignment="1">
      <alignment vertical="top"/>
    </xf>
    <xf numFmtId="171" fontId="17" fillId="0" borderId="0" xfId="1" applyFont="1" applyFill="1" applyAlignment="1">
      <alignment vertical="top"/>
    </xf>
    <xf numFmtId="171" fontId="18" fillId="0" borderId="0" xfId="1" applyFont="1" applyFill="1" applyAlignment="1">
      <alignment vertical="top"/>
    </xf>
    <xf numFmtId="171" fontId="19" fillId="0" borderId="0" xfId="1" applyFont="1" applyFill="1" applyAlignment="1">
      <alignment horizontal="right" vertical="top"/>
    </xf>
    <xf numFmtId="171" fontId="19" fillId="0" borderId="0" xfId="1" applyFont="1" applyFill="1" applyAlignment="1">
      <alignment vertical="top"/>
    </xf>
    <xf numFmtId="164" fontId="19" fillId="0" borderId="0" xfId="0" applyFont="1" applyFill="1" applyAlignment="1">
      <alignment vertical="top"/>
    </xf>
    <xf numFmtId="164" fontId="17" fillId="0" borderId="0" xfId="0" applyFont="1" applyFill="1">
      <alignment vertical="top"/>
    </xf>
    <xf numFmtId="164" fontId="17" fillId="0" borderId="0" xfId="0" applyFont="1" applyFill="1" applyAlignment="1">
      <alignment vertical="top"/>
    </xf>
    <xf numFmtId="164" fontId="18" fillId="0" borderId="0" xfId="0" applyFont="1" applyFill="1">
      <alignment vertical="top"/>
    </xf>
    <xf numFmtId="164" fontId="19" fillId="0" borderId="0" xfId="0" applyFont="1" applyFill="1">
      <alignment vertical="top"/>
    </xf>
    <xf numFmtId="170" fontId="19" fillId="0" borderId="0" xfId="0" applyNumberFormat="1" applyFont="1" applyFill="1">
      <alignment vertical="top"/>
    </xf>
    <xf numFmtId="169" fontId="17" fillId="0" borderId="0" xfId="2" applyFont="1" applyFill="1" applyAlignment="1">
      <alignment vertical="top"/>
    </xf>
    <xf numFmtId="169" fontId="18" fillId="0" borderId="0" xfId="2" applyFont="1" applyFill="1" applyAlignment="1">
      <alignment vertical="top"/>
    </xf>
    <xf numFmtId="169" fontId="19" fillId="0" borderId="0" xfId="2" applyFont="1" applyFill="1" applyAlignment="1">
      <alignment horizontal="right" vertical="top"/>
    </xf>
    <xf numFmtId="169" fontId="19" fillId="0" borderId="0" xfId="2" applyFont="1" applyFill="1" applyAlignment="1">
      <alignment vertical="top"/>
    </xf>
    <xf numFmtId="171" fontId="19" fillId="0" borderId="0" xfId="1" applyFont="1" applyFill="1">
      <alignment vertical="top"/>
    </xf>
    <xf numFmtId="164" fontId="20" fillId="0" borderId="0" xfId="0" applyFont="1" applyFill="1" applyAlignment="1">
      <alignment vertical="top"/>
    </xf>
    <xf numFmtId="164" fontId="21" fillId="0" borderId="0" xfId="0" applyFont="1" applyFill="1" applyAlignment="1">
      <alignment vertical="top"/>
    </xf>
    <xf numFmtId="164" fontId="22" fillId="0" borderId="0" xfId="0" applyFont="1" applyFill="1" applyAlignment="1">
      <alignment horizontal="right" vertical="top"/>
    </xf>
    <xf numFmtId="164" fontId="22" fillId="0" borderId="0" xfId="0" applyFont="1" applyFill="1" applyAlignment="1">
      <alignment vertical="top"/>
    </xf>
    <xf numFmtId="171" fontId="17" fillId="0" borderId="0" xfId="1" applyFont="1" applyFill="1">
      <alignment vertical="top"/>
    </xf>
    <xf numFmtId="171" fontId="18" fillId="0" borderId="0" xfId="1" applyFont="1" applyFill="1">
      <alignment vertical="top"/>
    </xf>
    <xf numFmtId="164" fontId="17" fillId="0" borderId="0" xfId="0" applyFont="1" applyAlignment="1">
      <alignment vertical="top"/>
    </xf>
    <xf numFmtId="164" fontId="18" fillId="0" borderId="0" xfId="0" applyFont="1" applyFill="1" applyAlignment="1">
      <alignment vertical="top"/>
    </xf>
    <xf numFmtId="164" fontId="19" fillId="0" borderId="0" xfId="0" applyFont="1" applyAlignment="1">
      <alignment horizontal="right" vertical="top"/>
    </xf>
    <xf numFmtId="164" fontId="19" fillId="0" borderId="0" xfId="0" applyFont="1" applyAlignment="1">
      <alignment vertical="top"/>
    </xf>
    <xf numFmtId="164" fontId="17" fillId="0" borderId="0" xfId="0" applyFont="1" applyBorder="1" applyAlignment="1">
      <alignment vertical="top"/>
    </xf>
    <xf numFmtId="164" fontId="18" fillId="0" borderId="0" xfId="0" applyFont="1" applyBorder="1" applyAlignment="1">
      <alignment vertical="top"/>
    </xf>
    <xf numFmtId="164" fontId="19" fillId="0" borderId="0" xfId="0" applyFont="1" applyBorder="1" applyAlignment="1">
      <alignment horizontal="right" vertical="top"/>
    </xf>
    <xf numFmtId="164" fontId="19" fillId="0" borderId="0" xfId="0" applyFont="1" applyBorder="1" applyAlignment="1">
      <alignment vertical="top"/>
    </xf>
    <xf numFmtId="164" fontId="5" fillId="0" borderId="0" xfId="0" applyFont="1" applyFill="1" applyAlignment="1">
      <alignment vertical="top"/>
    </xf>
    <xf numFmtId="164" fontId="5" fillId="0" borderId="0" xfId="8" applyFont="1" applyFill="1">
      <alignment vertical="top"/>
    </xf>
    <xf numFmtId="164" fontId="4" fillId="0" borderId="0" xfId="8" applyFont="1" applyFill="1">
      <alignment vertical="top"/>
    </xf>
    <xf numFmtId="164" fontId="1" fillId="0" borderId="0" xfId="8" applyFont="1" applyFill="1">
      <alignment vertical="top"/>
    </xf>
    <xf numFmtId="164" fontId="6" fillId="0" borderId="0" xfId="8" applyFont="1" applyFill="1">
      <alignment vertical="top"/>
    </xf>
    <xf numFmtId="164" fontId="3" fillId="0" borderId="0" xfId="8" applyFont="1" applyFill="1">
      <alignment vertical="top"/>
    </xf>
    <xf numFmtId="167" fontId="11" fillId="0" borderId="0" xfId="0" applyNumberFormat="1" applyFont="1" applyFill="1" applyAlignment="1">
      <alignment vertical="top"/>
    </xf>
    <xf numFmtId="167" fontId="11" fillId="5" borderId="0" xfId="0" applyNumberFormat="1" applyFont="1" applyFill="1" applyAlignment="1">
      <alignment vertical="top"/>
    </xf>
    <xf numFmtId="167" fontId="11" fillId="0" borderId="0" xfId="0" applyNumberFormat="1" applyFont="1" applyFill="1" applyBorder="1" applyAlignment="1">
      <alignment vertical="top"/>
    </xf>
    <xf numFmtId="167" fontId="11" fillId="5" borderId="0" xfId="0" applyNumberFormat="1" applyFont="1" applyFill="1" applyBorder="1" applyAlignment="1">
      <alignment vertical="top"/>
    </xf>
    <xf numFmtId="167" fontId="11" fillId="0" borderId="0" xfId="3" applyNumberFormat="1" applyFont="1" applyFill="1">
      <alignment vertical="top"/>
    </xf>
    <xf numFmtId="167" fontId="11" fillId="5" borderId="0" xfId="3" applyNumberFormat="1" applyFont="1" applyFill="1">
      <alignment vertical="top"/>
    </xf>
    <xf numFmtId="170" fontId="3" fillId="5" borderId="0" xfId="0" applyNumberFormat="1" applyFont="1" applyFill="1">
      <alignment vertical="top"/>
    </xf>
    <xf numFmtId="164" fontId="1" fillId="0" borderId="0" xfId="0" applyFont="1" applyAlignment="1">
      <alignment vertical="top"/>
    </xf>
    <xf numFmtId="164" fontId="1" fillId="0" borderId="0" xfId="0" applyFont="1" applyAlignment="1">
      <alignment horizontal="right" vertical="top"/>
    </xf>
    <xf numFmtId="164" fontId="1" fillId="6" borderId="0" xfId="0" applyFont="1" applyFill="1" applyAlignment="1">
      <alignment horizontal="right" vertical="top"/>
    </xf>
    <xf numFmtId="164" fontId="1" fillId="7" borderId="0" xfId="0" applyFont="1" applyFill="1" applyAlignment="1">
      <alignment horizontal="right" vertical="top"/>
    </xf>
    <xf numFmtId="169" fontId="24" fillId="0" borderId="0" xfId="2" applyFont="1">
      <alignment vertical="top"/>
    </xf>
    <xf numFmtId="164" fontId="1" fillId="7" borderId="0" xfId="0" applyFont="1" applyFill="1" applyBorder="1" applyAlignment="1">
      <alignment horizontal="right" vertical="top"/>
    </xf>
    <xf numFmtId="164" fontId="24" fillId="0" borderId="0" xfId="8" applyFont="1" applyAlignment="1">
      <alignment vertical="top"/>
    </xf>
  </cellXfs>
  <cellStyles count="9">
    <cellStyle name="Comma" xfId="8" builtinId="3" customBuiltin="1"/>
    <cellStyle name="Comma [0]" xfId="5" builtinId="6" hidden="1"/>
    <cellStyle name="Currency" xfId="6" builtinId="4" hidden="1"/>
    <cellStyle name="Currency [0]" xfId="7" builtinId="7" hidden="1"/>
    <cellStyle name="DateLong" xfId="1"/>
    <cellStyle name="DateShort" xfId="2"/>
    <cellStyle name="Factor" xfId="3"/>
    <cellStyle name="Normal" xfId="0" builtinId="0" customBuiltin="1"/>
    <cellStyle name="Percent" xfId="4" builtinId="5" customBuiltin="1"/>
  </cellStyles>
  <dxfs count="2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EAEAE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43"/>
    <outlinePr summaryBelow="0" summaryRight="0"/>
  </sheetPr>
  <dimension ref="A1:BY19"/>
  <sheetViews>
    <sheetView tabSelected="1" defaultGridColor="0" colorId="22" zoomScale="80" zoomScaleNormal="80" workbookViewId="0">
      <pane xSplit="9" ySplit="5" topLeftCell="J6" activePane="bottomRight" state="frozen"/>
      <selection activeCell="J6" sqref="J6"/>
      <selection pane="topRight" activeCell="J6" sqref="J6"/>
      <selection pane="bottomLeft" activeCell="J6" sqref="J6"/>
      <selection pane="bottomRight" activeCell="J6" sqref="J6"/>
    </sheetView>
  </sheetViews>
  <sheetFormatPr defaultColWidth="0" defaultRowHeight="12.75" x14ac:dyDescent="0.2"/>
  <cols>
    <col min="1" max="2" width="1.28515625" style="5" customWidth="1"/>
    <col min="3" max="3" width="1.28515625" style="12" customWidth="1"/>
    <col min="4" max="4" width="1.28515625" style="54" customWidth="1"/>
    <col min="5" max="5" width="40.7109375" style="15" customWidth="1"/>
    <col min="6" max="6" width="12.7109375" style="15" customWidth="1"/>
    <col min="7" max="8" width="11.7109375" style="15" customWidth="1"/>
    <col min="9" max="9" width="2.7109375" style="15" customWidth="1"/>
    <col min="10" max="10" width="12.7109375" style="15" customWidth="1"/>
    <col min="11" max="27" width="10.7109375" style="15" customWidth="1"/>
    <col min="28" max="16384" width="0" style="15" hidden="1"/>
  </cols>
  <sheetData>
    <row r="1" spans="1:77" s="113" customFormat="1" ht="26.25" x14ac:dyDescent="0.2">
      <c r="A1" s="82" t="str">
        <f ca="1" xml:space="preserve"> RIGHT(CELL("filename", A1), LEN(CELL("filename", A1)) - SEARCH("]", CELL("filename", A1)))</f>
        <v>InpC</v>
      </c>
      <c r="B1" s="143"/>
      <c r="C1" s="72"/>
      <c r="D1" s="157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56"/>
    </row>
    <row r="2" spans="1:77" s="55" customFormat="1" x14ac:dyDescent="0.2">
      <c r="A2" s="50"/>
      <c r="B2" s="50"/>
      <c r="C2" s="51"/>
      <c r="D2" s="56"/>
      <c r="F2" s="159"/>
      <c r="G2" s="160" t="s">
        <v>92</v>
      </c>
      <c r="H2" s="66"/>
    </row>
    <row r="3" spans="1:77" s="55" customFormat="1" x14ac:dyDescent="0.2">
      <c r="A3" s="50"/>
      <c r="B3" s="50"/>
      <c r="C3" s="51"/>
      <c r="D3" s="56"/>
      <c r="F3" s="161"/>
      <c r="G3" s="162" t="s">
        <v>93</v>
      </c>
      <c r="H3" s="66"/>
    </row>
    <row r="4" spans="1:77" s="55" customFormat="1" x14ac:dyDescent="0.2">
      <c r="A4" s="50"/>
      <c r="B4" s="50"/>
      <c r="C4" s="51"/>
      <c r="D4" s="56"/>
      <c r="F4" s="161"/>
      <c r="G4" s="162" t="s">
        <v>94</v>
      </c>
      <c r="H4" s="66"/>
    </row>
    <row r="5" spans="1:77" s="57" customFormat="1" x14ac:dyDescent="0.2">
      <c r="C5" s="58"/>
      <c r="D5" s="59"/>
      <c r="E5" s="67"/>
      <c r="F5" s="102" t="s">
        <v>62</v>
      </c>
      <c r="G5" s="10" t="s">
        <v>63</v>
      </c>
      <c r="H5" s="102"/>
    </row>
    <row r="6" spans="1:77" x14ac:dyDescent="0.2">
      <c r="A6" s="143"/>
    </row>
    <row r="7" spans="1:77" x14ac:dyDescent="0.2">
      <c r="A7" s="5" t="s">
        <v>13</v>
      </c>
    </row>
    <row r="9" spans="1:77" s="24" customFormat="1" x14ac:dyDescent="0.2">
      <c r="A9" s="20"/>
      <c r="B9" s="20"/>
      <c r="C9" s="22"/>
      <c r="D9" s="23"/>
      <c r="E9" s="24" t="s">
        <v>89</v>
      </c>
      <c r="F9" s="19">
        <v>40664</v>
      </c>
      <c r="G9" s="24" t="s">
        <v>17</v>
      </c>
    </row>
    <row r="11" spans="1:77" x14ac:dyDescent="0.2">
      <c r="E11" s="15" t="s">
        <v>82</v>
      </c>
      <c r="F11" s="103">
        <v>1</v>
      </c>
      <c r="G11" s="15" t="s">
        <v>83</v>
      </c>
    </row>
    <row r="13" spans="1:77" s="24" customFormat="1" x14ac:dyDescent="0.2">
      <c r="A13" s="20"/>
      <c r="B13" s="20"/>
      <c r="C13" s="22"/>
      <c r="D13" s="23"/>
      <c r="E13" s="15" t="s">
        <v>20</v>
      </c>
      <c r="F13" s="19">
        <v>40694</v>
      </c>
      <c r="G13" s="24" t="s">
        <v>17</v>
      </c>
    </row>
    <row r="14" spans="1:77" s="14" customFormat="1" x14ac:dyDescent="0.2">
      <c r="A14" s="5"/>
      <c r="B14" s="5"/>
      <c r="C14" s="12"/>
      <c r="D14" s="13"/>
      <c r="E14" s="15" t="s">
        <v>5</v>
      </c>
      <c r="F14" s="30">
        <v>5</v>
      </c>
      <c r="G14" s="14" t="s">
        <v>6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6" spans="1:77" s="73" customFormat="1" x14ac:dyDescent="0.2">
      <c r="A16" s="143"/>
      <c r="B16" s="143"/>
      <c r="C16" s="12"/>
      <c r="D16" s="54"/>
      <c r="E16" s="73" t="s">
        <v>71</v>
      </c>
      <c r="F16" s="155">
        <v>2011</v>
      </c>
      <c r="G16" s="73" t="s">
        <v>70</v>
      </c>
    </row>
    <row r="17" spans="1:7" x14ac:dyDescent="0.2">
      <c r="A17" s="143"/>
      <c r="B17" s="143"/>
      <c r="E17" s="75" t="s">
        <v>67</v>
      </c>
      <c r="F17" s="76">
        <v>6</v>
      </c>
      <c r="G17" s="75" t="s">
        <v>68</v>
      </c>
    </row>
    <row r="18" spans="1:7" x14ac:dyDescent="0.2">
      <c r="A18" s="143"/>
      <c r="B18" s="143"/>
    </row>
    <row r="19" spans="1:7" x14ac:dyDescent="0.2">
      <c r="A19" s="143"/>
      <c r="B19" s="143"/>
    </row>
  </sheetData>
  <phoneticPr fontId="2" type="noConversion"/>
  <conditionalFormatting sqref="F3:F4">
    <cfRule type="cellIs" dxfId="21" priority="1" stopIfTrue="1" operator="notEqual">
      <formula>0</formula>
    </cfRule>
    <cfRule type="cellIs" dxfId="20" priority="2" stopIfTrue="1" operator="equal">
      <formula>""</formula>
    </cfRule>
  </conditionalFormatting>
  <conditionalFormatting sqref="F2">
    <cfRule type="cellIs" dxfId="19" priority="3" stopIfTrue="1" operator="notEqual">
      <formula>0</formula>
    </cfRule>
    <cfRule type="cellIs" dxfId="18" priority="4" stopIfTrue="1" operator="equal">
      <formula>""</formula>
    </cfRule>
  </conditionalFormatting>
  <printOptions verticalCentered="1" headings="1"/>
  <pageMargins left="0.74803149606299213" right="0.74803149606299213" top="0.98425196850393704" bottom="0.98425196850393704" header="0.51181102362204722" footer="0.51181102362204722"/>
  <pageSetup paperSize="9" scale="55" orientation="landscape" blackAndWhite="1" r:id="rId1"/>
  <headerFooter alignWithMargins="0">
    <oddHeader>&amp;L&amp;"Arial,Bold"&amp;14PROJECT BIOMASS&amp;C&amp;"Arial,Bold"&amp;14Sheet: &amp;A&amp;R&amp;"Arial,Bold"&amp;14STRICTLY CONFIDENTIAL</oddHeader>
    <oddFooter>&amp;L&amp;F ( Printed on &amp;D at &amp;T )&amp;RPage &amp;P</oddFooter>
  </headerFooter>
  <customProperties>
    <customPr name="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CA65"/>
  <sheetViews>
    <sheetView defaultGridColor="0" colorId="22" zoomScale="80" zoomScaleNormal="80" workbookViewId="0">
      <pane xSplit="9" ySplit="5" topLeftCell="J6" activePane="bottomRight" state="frozen"/>
      <selection activeCell="L30" sqref="L30"/>
      <selection pane="topRight" activeCell="L30" sqref="L30"/>
      <selection pane="bottomLeft" activeCell="L30" sqref="L30"/>
      <selection pane="bottomRight" activeCell="J6" sqref="J6"/>
    </sheetView>
  </sheetViews>
  <sheetFormatPr defaultColWidth="0" defaultRowHeight="12.75" x14ac:dyDescent="0.2"/>
  <cols>
    <col min="1" max="2" width="1.28515625" style="5" customWidth="1"/>
    <col min="3" max="3" width="1.28515625" style="12" customWidth="1"/>
    <col min="4" max="4" width="1.28515625" style="54" customWidth="1"/>
    <col min="5" max="5" width="40.7109375" style="15" customWidth="1"/>
    <col min="6" max="6" width="12.7109375" style="15" customWidth="1"/>
    <col min="7" max="8" width="11.7109375" style="15" customWidth="1"/>
    <col min="9" max="9" width="2.7109375" style="15" customWidth="1"/>
    <col min="10" max="77" width="11.7109375" style="15" customWidth="1"/>
    <col min="78" max="16384" width="0" style="15" hidden="1"/>
  </cols>
  <sheetData>
    <row r="1" spans="1:77" s="113" customFormat="1" ht="26.25" x14ac:dyDescent="0.2">
      <c r="A1" s="82" t="str">
        <f ca="1" xml:space="preserve"> RIGHT(CELL("filename", A1), LEN(CELL("filename", A1)) - SEARCH("]", CELL("filename", A1)))</f>
        <v>Time</v>
      </c>
      <c r="B1" s="143"/>
      <c r="C1" s="72"/>
      <c r="D1" s="157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56"/>
    </row>
    <row r="2" spans="1:77" s="68" customFormat="1" x14ac:dyDescent="0.2">
      <c r="B2" s="69"/>
      <c r="C2" s="111"/>
      <c r="E2" s="71" t="str">
        <f xml:space="preserve"> E$19</f>
        <v xml:space="preserve">Model period ending </v>
      </c>
      <c r="F2" s="159"/>
      <c r="G2" s="160" t="s">
        <v>92</v>
      </c>
      <c r="H2" s="61"/>
      <c r="J2" s="68">
        <f xml:space="preserve"> J$19</f>
        <v>40694</v>
      </c>
      <c r="K2" s="68">
        <f t="shared" ref="K2:BV2" si="0" xml:space="preserve"> K$19</f>
        <v>40724</v>
      </c>
      <c r="L2" s="68">
        <f t="shared" si="0"/>
        <v>40755</v>
      </c>
      <c r="M2" s="68">
        <f t="shared" si="0"/>
        <v>40786</v>
      </c>
      <c r="N2" s="68">
        <f t="shared" si="0"/>
        <v>40816</v>
      </c>
      <c r="O2" s="68">
        <f t="shared" si="0"/>
        <v>40847</v>
      </c>
      <c r="P2" s="68">
        <f t="shared" si="0"/>
        <v>40877</v>
      </c>
      <c r="Q2" s="68">
        <f t="shared" si="0"/>
        <v>40908</v>
      </c>
      <c r="R2" s="68">
        <f t="shared" si="0"/>
        <v>40939</v>
      </c>
      <c r="S2" s="68">
        <f t="shared" si="0"/>
        <v>40968</v>
      </c>
      <c r="T2" s="68">
        <f t="shared" si="0"/>
        <v>40999</v>
      </c>
      <c r="U2" s="68">
        <f t="shared" si="0"/>
        <v>41029</v>
      </c>
      <c r="V2" s="68">
        <f t="shared" si="0"/>
        <v>41060</v>
      </c>
      <c r="W2" s="68">
        <f t="shared" si="0"/>
        <v>41090</v>
      </c>
      <c r="X2" s="68">
        <f t="shared" si="0"/>
        <v>41121</v>
      </c>
      <c r="Y2" s="68">
        <f t="shared" si="0"/>
        <v>41152</v>
      </c>
      <c r="Z2" s="68">
        <f t="shared" si="0"/>
        <v>41182</v>
      </c>
      <c r="AA2" s="68">
        <f t="shared" si="0"/>
        <v>41213</v>
      </c>
      <c r="AB2" s="68">
        <f t="shared" si="0"/>
        <v>41243</v>
      </c>
      <c r="AC2" s="68">
        <f t="shared" si="0"/>
        <v>41274</v>
      </c>
      <c r="AD2" s="68">
        <f t="shared" si="0"/>
        <v>41305</v>
      </c>
      <c r="AE2" s="68">
        <f t="shared" si="0"/>
        <v>41333</v>
      </c>
      <c r="AF2" s="68">
        <f t="shared" si="0"/>
        <v>41364</v>
      </c>
      <c r="AG2" s="68">
        <f t="shared" si="0"/>
        <v>41394</v>
      </c>
      <c r="AH2" s="68">
        <f t="shared" si="0"/>
        <v>41425</v>
      </c>
      <c r="AI2" s="68">
        <f t="shared" si="0"/>
        <v>41455</v>
      </c>
      <c r="AJ2" s="68">
        <f t="shared" si="0"/>
        <v>41486</v>
      </c>
      <c r="AK2" s="68">
        <f t="shared" si="0"/>
        <v>41517</v>
      </c>
      <c r="AL2" s="68">
        <f t="shared" si="0"/>
        <v>41547</v>
      </c>
      <c r="AM2" s="68">
        <f t="shared" si="0"/>
        <v>41578</v>
      </c>
      <c r="AN2" s="68">
        <f t="shared" si="0"/>
        <v>41608</v>
      </c>
      <c r="AO2" s="68">
        <f t="shared" si="0"/>
        <v>41639</v>
      </c>
      <c r="AP2" s="68">
        <f t="shared" si="0"/>
        <v>41670</v>
      </c>
      <c r="AQ2" s="68">
        <f t="shared" si="0"/>
        <v>41698</v>
      </c>
      <c r="AR2" s="68">
        <f t="shared" si="0"/>
        <v>41729</v>
      </c>
      <c r="AS2" s="68">
        <f t="shared" si="0"/>
        <v>41759</v>
      </c>
      <c r="AT2" s="68">
        <f t="shared" si="0"/>
        <v>41790</v>
      </c>
      <c r="AU2" s="68">
        <f t="shared" si="0"/>
        <v>41820</v>
      </c>
      <c r="AV2" s="68">
        <f t="shared" si="0"/>
        <v>41851</v>
      </c>
      <c r="AW2" s="68">
        <f t="shared" si="0"/>
        <v>41882</v>
      </c>
      <c r="AX2" s="68">
        <f t="shared" si="0"/>
        <v>41912</v>
      </c>
      <c r="AY2" s="68">
        <f t="shared" si="0"/>
        <v>41943</v>
      </c>
      <c r="AZ2" s="68">
        <f t="shared" si="0"/>
        <v>41973</v>
      </c>
      <c r="BA2" s="68">
        <f t="shared" si="0"/>
        <v>42004</v>
      </c>
      <c r="BB2" s="68">
        <f t="shared" si="0"/>
        <v>42035</v>
      </c>
      <c r="BC2" s="68">
        <f t="shared" si="0"/>
        <v>42063</v>
      </c>
      <c r="BD2" s="68">
        <f t="shared" si="0"/>
        <v>42094</v>
      </c>
      <c r="BE2" s="68">
        <f t="shared" si="0"/>
        <v>42124</v>
      </c>
      <c r="BF2" s="68">
        <f t="shared" si="0"/>
        <v>42155</v>
      </c>
      <c r="BG2" s="68">
        <f t="shared" si="0"/>
        <v>42185</v>
      </c>
      <c r="BH2" s="68">
        <f t="shared" si="0"/>
        <v>42216</v>
      </c>
      <c r="BI2" s="68">
        <f t="shared" si="0"/>
        <v>42247</v>
      </c>
      <c r="BJ2" s="68">
        <f t="shared" si="0"/>
        <v>42277</v>
      </c>
      <c r="BK2" s="68">
        <f t="shared" si="0"/>
        <v>42308</v>
      </c>
      <c r="BL2" s="68">
        <f t="shared" si="0"/>
        <v>42338</v>
      </c>
      <c r="BM2" s="68">
        <f t="shared" si="0"/>
        <v>42369</v>
      </c>
      <c r="BN2" s="68">
        <f t="shared" si="0"/>
        <v>42400</v>
      </c>
      <c r="BO2" s="68">
        <f t="shared" si="0"/>
        <v>42429</v>
      </c>
      <c r="BP2" s="68">
        <f t="shared" si="0"/>
        <v>42460</v>
      </c>
      <c r="BQ2" s="68">
        <f t="shared" si="0"/>
        <v>42490</v>
      </c>
      <c r="BR2" s="68">
        <f t="shared" si="0"/>
        <v>42521</v>
      </c>
      <c r="BS2" s="68">
        <f t="shared" si="0"/>
        <v>42551</v>
      </c>
      <c r="BT2" s="68">
        <f t="shared" si="0"/>
        <v>42582</v>
      </c>
      <c r="BU2" s="68">
        <f t="shared" si="0"/>
        <v>42613</v>
      </c>
      <c r="BV2" s="68">
        <f t="shared" si="0"/>
        <v>42643</v>
      </c>
      <c r="BW2" s="68">
        <f xml:space="preserve"> BW$19</f>
        <v>42674</v>
      </c>
      <c r="BX2" s="68">
        <f xml:space="preserve"> BX$19</f>
        <v>42704</v>
      </c>
      <c r="BY2" s="68">
        <f xml:space="preserve"> BY$19</f>
        <v>42735</v>
      </c>
    </row>
    <row r="3" spans="1:77" s="7" customFormat="1" x14ac:dyDescent="0.2">
      <c r="A3" s="10"/>
      <c r="B3" s="5"/>
      <c r="C3" s="72"/>
      <c r="D3" s="6"/>
      <c r="E3" s="7" t="str">
        <f ca="1" xml:space="preserve"> E$55</f>
        <v>Pre-forecast Vs forecast</v>
      </c>
      <c r="F3" s="161"/>
      <c r="G3" s="162" t="s">
        <v>93</v>
      </c>
      <c r="H3" s="61"/>
      <c r="J3" s="158" t="str">
        <f t="shared" ref="J3:AO3" si="1" xml:space="preserve"> J$55</f>
        <v>Pre-forecast</v>
      </c>
      <c r="K3" s="158" t="str">
        <f t="shared" si="1"/>
        <v>Forecast</v>
      </c>
      <c r="L3" s="158" t="str">
        <f t="shared" si="1"/>
        <v>Forecast</v>
      </c>
      <c r="M3" s="158" t="str">
        <f t="shared" si="1"/>
        <v>Forecast</v>
      </c>
      <c r="N3" s="158" t="str">
        <f t="shared" si="1"/>
        <v>Forecast</v>
      </c>
      <c r="O3" s="158" t="str">
        <f t="shared" si="1"/>
        <v>Forecast</v>
      </c>
      <c r="P3" s="158" t="str">
        <f t="shared" si="1"/>
        <v>Forecast</v>
      </c>
      <c r="Q3" s="158" t="str">
        <f t="shared" si="1"/>
        <v>Forecast</v>
      </c>
      <c r="R3" s="158" t="str">
        <f t="shared" si="1"/>
        <v>Forecast</v>
      </c>
      <c r="S3" s="158" t="str">
        <f t="shared" si="1"/>
        <v>Forecast</v>
      </c>
      <c r="T3" s="158" t="str">
        <f t="shared" si="1"/>
        <v>Forecast</v>
      </c>
      <c r="U3" s="158" t="str">
        <f t="shared" si="1"/>
        <v>Forecast</v>
      </c>
      <c r="V3" s="158" t="str">
        <f t="shared" si="1"/>
        <v>Forecast</v>
      </c>
      <c r="W3" s="158" t="str">
        <f t="shared" si="1"/>
        <v>Forecast</v>
      </c>
      <c r="X3" s="158" t="str">
        <f t="shared" si="1"/>
        <v>Forecast</v>
      </c>
      <c r="Y3" s="158" t="str">
        <f t="shared" si="1"/>
        <v>Forecast</v>
      </c>
      <c r="Z3" s="158" t="str">
        <f t="shared" si="1"/>
        <v>Forecast</v>
      </c>
      <c r="AA3" s="158" t="str">
        <f t="shared" si="1"/>
        <v>Forecast</v>
      </c>
      <c r="AB3" s="158" t="str">
        <f t="shared" si="1"/>
        <v>Forecast</v>
      </c>
      <c r="AC3" s="158" t="str">
        <f t="shared" si="1"/>
        <v>Forecast</v>
      </c>
      <c r="AD3" s="158" t="str">
        <f t="shared" si="1"/>
        <v>Forecast</v>
      </c>
      <c r="AE3" s="158" t="str">
        <f t="shared" si="1"/>
        <v>Forecast</v>
      </c>
      <c r="AF3" s="158" t="str">
        <f t="shared" si="1"/>
        <v>Forecast</v>
      </c>
      <c r="AG3" s="158" t="str">
        <f t="shared" si="1"/>
        <v>Forecast</v>
      </c>
      <c r="AH3" s="158" t="str">
        <f t="shared" si="1"/>
        <v>Forecast</v>
      </c>
      <c r="AI3" s="158" t="str">
        <f t="shared" si="1"/>
        <v>Forecast</v>
      </c>
      <c r="AJ3" s="158" t="str">
        <f t="shared" si="1"/>
        <v>Forecast</v>
      </c>
      <c r="AK3" s="158" t="str">
        <f t="shared" si="1"/>
        <v>Forecast</v>
      </c>
      <c r="AL3" s="158" t="str">
        <f t="shared" si="1"/>
        <v>Forecast</v>
      </c>
      <c r="AM3" s="158" t="str">
        <f t="shared" si="1"/>
        <v>Forecast</v>
      </c>
      <c r="AN3" s="158" t="str">
        <f t="shared" si="1"/>
        <v>Forecast</v>
      </c>
      <c r="AO3" s="158" t="str">
        <f t="shared" si="1"/>
        <v>Forecast</v>
      </c>
      <c r="AP3" s="158" t="str">
        <f t="shared" ref="AP3:BY3" si="2" xml:space="preserve"> AP$55</f>
        <v>Forecast</v>
      </c>
      <c r="AQ3" s="158" t="str">
        <f t="shared" si="2"/>
        <v>Forecast</v>
      </c>
      <c r="AR3" s="158" t="str">
        <f t="shared" si="2"/>
        <v>Forecast</v>
      </c>
      <c r="AS3" s="158" t="str">
        <f t="shared" si="2"/>
        <v>Forecast</v>
      </c>
      <c r="AT3" s="158" t="str">
        <f t="shared" si="2"/>
        <v>Forecast</v>
      </c>
      <c r="AU3" s="158" t="str">
        <f t="shared" si="2"/>
        <v>Forecast</v>
      </c>
      <c r="AV3" s="158" t="str">
        <f t="shared" si="2"/>
        <v>Forecast</v>
      </c>
      <c r="AW3" s="158" t="str">
        <f t="shared" si="2"/>
        <v>Forecast</v>
      </c>
      <c r="AX3" s="158" t="str">
        <f t="shared" si="2"/>
        <v>Forecast</v>
      </c>
      <c r="AY3" s="158" t="str">
        <f t="shared" si="2"/>
        <v>Forecast</v>
      </c>
      <c r="AZ3" s="158" t="str">
        <f t="shared" si="2"/>
        <v>Forecast</v>
      </c>
      <c r="BA3" s="158" t="str">
        <f t="shared" si="2"/>
        <v>Forecast</v>
      </c>
      <c r="BB3" s="158" t="str">
        <f t="shared" si="2"/>
        <v>Forecast</v>
      </c>
      <c r="BC3" s="158" t="str">
        <f t="shared" si="2"/>
        <v>Forecast</v>
      </c>
      <c r="BD3" s="158" t="str">
        <f t="shared" si="2"/>
        <v>Forecast</v>
      </c>
      <c r="BE3" s="158" t="str">
        <f t="shared" si="2"/>
        <v>Forecast</v>
      </c>
      <c r="BF3" s="158" t="str">
        <f t="shared" si="2"/>
        <v>Forecast</v>
      </c>
      <c r="BG3" s="158" t="str">
        <f t="shared" si="2"/>
        <v>Forecast</v>
      </c>
      <c r="BH3" s="158" t="str">
        <f t="shared" si="2"/>
        <v>Forecast</v>
      </c>
      <c r="BI3" s="158" t="str">
        <f t="shared" si="2"/>
        <v>Forecast</v>
      </c>
      <c r="BJ3" s="158" t="str">
        <f t="shared" si="2"/>
        <v>Forecast</v>
      </c>
      <c r="BK3" s="158" t="str">
        <f t="shared" si="2"/>
        <v>Forecast</v>
      </c>
      <c r="BL3" s="158" t="str">
        <f t="shared" si="2"/>
        <v>Forecast</v>
      </c>
      <c r="BM3" s="158" t="str">
        <f t="shared" si="2"/>
        <v>Forecast</v>
      </c>
      <c r="BN3" s="158" t="str">
        <f t="shared" si="2"/>
        <v>Forecast</v>
      </c>
      <c r="BO3" s="158" t="str">
        <f t="shared" si="2"/>
        <v>Forecast</v>
      </c>
      <c r="BP3" s="158" t="str">
        <f t="shared" si="2"/>
        <v>Forecast</v>
      </c>
      <c r="BQ3" s="158" t="str">
        <f t="shared" si="2"/>
        <v>Forecast</v>
      </c>
      <c r="BR3" s="158" t="str">
        <f t="shared" si="2"/>
        <v>Forecast</v>
      </c>
      <c r="BS3" s="158" t="str">
        <f t="shared" si="2"/>
        <v>Post-Frcst</v>
      </c>
      <c r="BT3" s="158" t="str">
        <f t="shared" si="2"/>
        <v>Post-Frcst</v>
      </c>
      <c r="BU3" s="158" t="str">
        <f t="shared" si="2"/>
        <v>Post-Frcst</v>
      </c>
      <c r="BV3" s="158" t="str">
        <f t="shared" si="2"/>
        <v>Post-Frcst</v>
      </c>
      <c r="BW3" s="158" t="str">
        <f t="shared" si="2"/>
        <v>Post-Frcst</v>
      </c>
      <c r="BX3" s="158" t="str">
        <f t="shared" si="2"/>
        <v>Post-Frcst</v>
      </c>
      <c r="BY3" s="158" t="str">
        <f t="shared" si="2"/>
        <v>Post-Frcst</v>
      </c>
    </row>
    <row r="4" spans="1:77" s="7" customFormat="1" x14ac:dyDescent="0.2">
      <c r="A4" s="10"/>
      <c r="B4" s="5"/>
      <c r="C4" s="72"/>
      <c r="D4" s="6"/>
      <c r="E4" s="7" t="str">
        <f xml:space="preserve"> E$25</f>
        <v>Financial year ending</v>
      </c>
      <c r="F4" s="161"/>
      <c r="G4" s="162" t="s">
        <v>94</v>
      </c>
      <c r="J4" s="73">
        <f xml:space="preserve"> J$25</f>
        <v>2011</v>
      </c>
      <c r="K4" s="73">
        <f t="shared" ref="K4:BV4" si="3" xml:space="preserve"> K$25</f>
        <v>2011</v>
      </c>
      <c r="L4" s="73">
        <f t="shared" si="3"/>
        <v>2012</v>
      </c>
      <c r="M4" s="73">
        <f t="shared" si="3"/>
        <v>2012</v>
      </c>
      <c r="N4" s="73">
        <f t="shared" si="3"/>
        <v>2012</v>
      </c>
      <c r="O4" s="73">
        <f t="shared" si="3"/>
        <v>2012</v>
      </c>
      <c r="P4" s="73">
        <f t="shared" si="3"/>
        <v>2012</v>
      </c>
      <c r="Q4" s="73">
        <f t="shared" si="3"/>
        <v>2012</v>
      </c>
      <c r="R4" s="73">
        <f t="shared" si="3"/>
        <v>2012</v>
      </c>
      <c r="S4" s="73">
        <f t="shared" si="3"/>
        <v>2012</v>
      </c>
      <c r="T4" s="73">
        <f t="shared" si="3"/>
        <v>2012</v>
      </c>
      <c r="U4" s="73">
        <f t="shared" si="3"/>
        <v>2012</v>
      </c>
      <c r="V4" s="73">
        <f t="shared" si="3"/>
        <v>2012</v>
      </c>
      <c r="W4" s="73">
        <f t="shared" si="3"/>
        <v>2012</v>
      </c>
      <c r="X4" s="73">
        <f t="shared" si="3"/>
        <v>2013</v>
      </c>
      <c r="Y4" s="73">
        <f t="shared" si="3"/>
        <v>2013</v>
      </c>
      <c r="Z4" s="73">
        <f t="shared" si="3"/>
        <v>2013</v>
      </c>
      <c r="AA4" s="73">
        <f t="shared" si="3"/>
        <v>2013</v>
      </c>
      <c r="AB4" s="73">
        <f t="shared" si="3"/>
        <v>2013</v>
      </c>
      <c r="AC4" s="73">
        <f t="shared" si="3"/>
        <v>2013</v>
      </c>
      <c r="AD4" s="73">
        <f t="shared" si="3"/>
        <v>2013</v>
      </c>
      <c r="AE4" s="73">
        <f t="shared" si="3"/>
        <v>2013</v>
      </c>
      <c r="AF4" s="73">
        <f t="shared" si="3"/>
        <v>2013</v>
      </c>
      <c r="AG4" s="73">
        <f t="shared" si="3"/>
        <v>2013</v>
      </c>
      <c r="AH4" s="73">
        <f t="shared" si="3"/>
        <v>2013</v>
      </c>
      <c r="AI4" s="73">
        <f t="shared" si="3"/>
        <v>2013</v>
      </c>
      <c r="AJ4" s="73">
        <f t="shared" si="3"/>
        <v>2014</v>
      </c>
      <c r="AK4" s="73">
        <f t="shared" si="3"/>
        <v>2014</v>
      </c>
      <c r="AL4" s="73">
        <f t="shared" si="3"/>
        <v>2014</v>
      </c>
      <c r="AM4" s="73">
        <f t="shared" si="3"/>
        <v>2014</v>
      </c>
      <c r="AN4" s="73">
        <f t="shared" si="3"/>
        <v>2014</v>
      </c>
      <c r="AO4" s="73">
        <f t="shared" si="3"/>
        <v>2014</v>
      </c>
      <c r="AP4" s="73">
        <f t="shared" si="3"/>
        <v>2014</v>
      </c>
      <c r="AQ4" s="73">
        <f t="shared" si="3"/>
        <v>2014</v>
      </c>
      <c r="AR4" s="73">
        <f t="shared" si="3"/>
        <v>2014</v>
      </c>
      <c r="AS4" s="73">
        <f t="shared" si="3"/>
        <v>2014</v>
      </c>
      <c r="AT4" s="73">
        <f t="shared" si="3"/>
        <v>2014</v>
      </c>
      <c r="AU4" s="73">
        <f t="shared" si="3"/>
        <v>2014</v>
      </c>
      <c r="AV4" s="73">
        <f t="shared" si="3"/>
        <v>2015</v>
      </c>
      <c r="AW4" s="73">
        <f t="shared" si="3"/>
        <v>2015</v>
      </c>
      <c r="AX4" s="73">
        <f t="shared" si="3"/>
        <v>2015</v>
      </c>
      <c r="AY4" s="73">
        <f t="shared" si="3"/>
        <v>2015</v>
      </c>
      <c r="AZ4" s="73">
        <f t="shared" si="3"/>
        <v>2015</v>
      </c>
      <c r="BA4" s="73">
        <f t="shared" si="3"/>
        <v>2015</v>
      </c>
      <c r="BB4" s="73">
        <f t="shared" si="3"/>
        <v>2015</v>
      </c>
      <c r="BC4" s="73">
        <f t="shared" si="3"/>
        <v>2015</v>
      </c>
      <c r="BD4" s="73">
        <f t="shared" si="3"/>
        <v>2015</v>
      </c>
      <c r="BE4" s="73">
        <f t="shared" si="3"/>
        <v>2015</v>
      </c>
      <c r="BF4" s="73">
        <f t="shared" si="3"/>
        <v>2015</v>
      </c>
      <c r="BG4" s="73">
        <f t="shared" si="3"/>
        <v>2015</v>
      </c>
      <c r="BH4" s="73">
        <f t="shared" si="3"/>
        <v>2016</v>
      </c>
      <c r="BI4" s="73">
        <f t="shared" si="3"/>
        <v>2016</v>
      </c>
      <c r="BJ4" s="73">
        <f t="shared" si="3"/>
        <v>2016</v>
      </c>
      <c r="BK4" s="73">
        <f t="shared" si="3"/>
        <v>2016</v>
      </c>
      <c r="BL4" s="73">
        <f t="shared" si="3"/>
        <v>2016</v>
      </c>
      <c r="BM4" s="73">
        <f t="shared" si="3"/>
        <v>2016</v>
      </c>
      <c r="BN4" s="73">
        <f t="shared" si="3"/>
        <v>2016</v>
      </c>
      <c r="BO4" s="73">
        <f t="shared" si="3"/>
        <v>2016</v>
      </c>
      <c r="BP4" s="73">
        <f t="shared" si="3"/>
        <v>2016</v>
      </c>
      <c r="BQ4" s="73">
        <f t="shared" si="3"/>
        <v>2016</v>
      </c>
      <c r="BR4" s="73">
        <f t="shared" si="3"/>
        <v>2016</v>
      </c>
      <c r="BS4" s="73">
        <f t="shared" si="3"/>
        <v>2016</v>
      </c>
      <c r="BT4" s="73">
        <f t="shared" si="3"/>
        <v>2017</v>
      </c>
      <c r="BU4" s="73">
        <f t="shared" si="3"/>
        <v>2017</v>
      </c>
      <c r="BV4" s="73">
        <f t="shared" si="3"/>
        <v>2017</v>
      </c>
      <c r="BW4" s="73">
        <f xml:space="preserve"> BW$25</f>
        <v>2017</v>
      </c>
      <c r="BX4" s="73">
        <f xml:space="preserve"> BX$25</f>
        <v>2017</v>
      </c>
      <c r="BY4" s="73">
        <f xml:space="preserve"> BY$25</f>
        <v>2017</v>
      </c>
    </row>
    <row r="5" spans="1:77" s="7" customFormat="1" x14ac:dyDescent="0.2">
      <c r="A5" s="10"/>
      <c r="B5" s="5"/>
      <c r="C5" s="72"/>
      <c r="D5" s="6"/>
      <c r="E5" s="7" t="str">
        <f xml:space="preserve"> E$9</f>
        <v>Model column counter</v>
      </c>
      <c r="F5" s="102" t="s">
        <v>62</v>
      </c>
      <c r="G5" s="10" t="s">
        <v>63</v>
      </c>
      <c r="H5" s="102" t="s">
        <v>64</v>
      </c>
      <c r="J5" s="7">
        <f xml:space="preserve"> J$9</f>
        <v>1</v>
      </c>
      <c r="K5" s="7">
        <f t="shared" ref="K5:BV5" si="4" xml:space="preserve"> K$9</f>
        <v>2</v>
      </c>
      <c r="L5" s="7">
        <f t="shared" si="4"/>
        <v>3</v>
      </c>
      <c r="M5" s="7">
        <f t="shared" si="4"/>
        <v>4</v>
      </c>
      <c r="N5" s="7">
        <f t="shared" si="4"/>
        <v>5</v>
      </c>
      <c r="O5" s="7">
        <f t="shared" si="4"/>
        <v>6</v>
      </c>
      <c r="P5" s="7">
        <f t="shared" si="4"/>
        <v>7</v>
      </c>
      <c r="Q5" s="7">
        <f t="shared" si="4"/>
        <v>8</v>
      </c>
      <c r="R5" s="7">
        <f t="shared" si="4"/>
        <v>9</v>
      </c>
      <c r="S5" s="7">
        <f t="shared" si="4"/>
        <v>10</v>
      </c>
      <c r="T5" s="7">
        <f t="shared" si="4"/>
        <v>11</v>
      </c>
      <c r="U5" s="7">
        <f t="shared" si="4"/>
        <v>12</v>
      </c>
      <c r="V5" s="7">
        <f t="shared" si="4"/>
        <v>13</v>
      </c>
      <c r="W5" s="7">
        <f t="shared" si="4"/>
        <v>14</v>
      </c>
      <c r="X5" s="7">
        <f t="shared" si="4"/>
        <v>15</v>
      </c>
      <c r="Y5" s="7">
        <f t="shared" si="4"/>
        <v>16</v>
      </c>
      <c r="Z5" s="7">
        <f t="shared" si="4"/>
        <v>17</v>
      </c>
      <c r="AA5" s="7">
        <f t="shared" si="4"/>
        <v>18</v>
      </c>
      <c r="AB5" s="7">
        <f t="shared" si="4"/>
        <v>19</v>
      </c>
      <c r="AC5" s="7">
        <f t="shared" si="4"/>
        <v>20</v>
      </c>
      <c r="AD5" s="7">
        <f t="shared" si="4"/>
        <v>21</v>
      </c>
      <c r="AE5" s="7">
        <f t="shared" si="4"/>
        <v>22</v>
      </c>
      <c r="AF5" s="7">
        <f t="shared" si="4"/>
        <v>23</v>
      </c>
      <c r="AG5" s="7">
        <f t="shared" si="4"/>
        <v>24</v>
      </c>
      <c r="AH5" s="7">
        <f t="shared" si="4"/>
        <v>25</v>
      </c>
      <c r="AI5" s="7">
        <f t="shared" si="4"/>
        <v>26</v>
      </c>
      <c r="AJ5" s="7">
        <f t="shared" si="4"/>
        <v>27</v>
      </c>
      <c r="AK5" s="7">
        <f t="shared" si="4"/>
        <v>28</v>
      </c>
      <c r="AL5" s="7">
        <f t="shared" si="4"/>
        <v>29</v>
      </c>
      <c r="AM5" s="7">
        <f t="shared" si="4"/>
        <v>30</v>
      </c>
      <c r="AN5" s="7">
        <f t="shared" si="4"/>
        <v>31</v>
      </c>
      <c r="AO5" s="7">
        <f t="shared" si="4"/>
        <v>32</v>
      </c>
      <c r="AP5" s="7">
        <f t="shared" si="4"/>
        <v>33</v>
      </c>
      <c r="AQ5" s="7">
        <f t="shared" si="4"/>
        <v>34</v>
      </c>
      <c r="AR5" s="7">
        <f t="shared" si="4"/>
        <v>35</v>
      </c>
      <c r="AS5" s="7">
        <f t="shared" si="4"/>
        <v>36</v>
      </c>
      <c r="AT5" s="7">
        <f t="shared" si="4"/>
        <v>37</v>
      </c>
      <c r="AU5" s="7">
        <f t="shared" si="4"/>
        <v>38</v>
      </c>
      <c r="AV5" s="7">
        <f t="shared" si="4"/>
        <v>39</v>
      </c>
      <c r="AW5" s="7">
        <f t="shared" si="4"/>
        <v>40</v>
      </c>
      <c r="AX5" s="7">
        <f t="shared" si="4"/>
        <v>41</v>
      </c>
      <c r="AY5" s="7">
        <f t="shared" si="4"/>
        <v>42</v>
      </c>
      <c r="AZ5" s="7">
        <f t="shared" si="4"/>
        <v>43</v>
      </c>
      <c r="BA5" s="7">
        <f t="shared" si="4"/>
        <v>44</v>
      </c>
      <c r="BB5" s="7">
        <f t="shared" si="4"/>
        <v>45</v>
      </c>
      <c r="BC5" s="7">
        <f t="shared" si="4"/>
        <v>46</v>
      </c>
      <c r="BD5" s="7">
        <f t="shared" si="4"/>
        <v>47</v>
      </c>
      <c r="BE5" s="7">
        <f t="shared" si="4"/>
        <v>48</v>
      </c>
      <c r="BF5" s="7">
        <f t="shared" si="4"/>
        <v>49</v>
      </c>
      <c r="BG5" s="7">
        <f t="shared" si="4"/>
        <v>50</v>
      </c>
      <c r="BH5" s="7">
        <f t="shared" si="4"/>
        <v>51</v>
      </c>
      <c r="BI5" s="7">
        <f t="shared" si="4"/>
        <v>52</v>
      </c>
      <c r="BJ5" s="7">
        <f t="shared" si="4"/>
        <v>53</v>
      </c>
      <c r="BK5" s="7">
        <f t="shared" si="4"/>
        <v>54</v>
      </c>
      <c r="BL5" s="7">
        <f t="shared" si="4"/>
        <v>55</v>
      </c>
      <c r="BM5" s="7">
        <f t="shared" si="4"/>
        <v>56</v>
      </c>
      <c r="BN5" s="7">
        <f t="shared" si="4"/>
        <v>57</v>
      </c>
      <c r="BO5" s="7">
        <f t="shared" si="4"/>
        <v>58</v>
      </c>
      <c r="BP5" s="7">
        <f t="shared" si="4"/>
        <v>59</v>
      </c>
      <c r="BQ5" s="7">
        <f t="shared" si="4"/>
        <v>60</v>
      </c>
      <c r="BR5" s="7">
        <f t="shared" si="4"/>
        <v>61</v>
      </c>
      <c r="BS5" s="7">
        <f t="shared" si="4"/>
        <v>62</v>
      </c>
      <c r="BT5" s="7">
        <f t="shared" si="4"/>
        <v>63</v>
      </c>
      <c r="BU5" s="7">
        <f t="shared" si="4"/>
        <v>64</v>
      </c>
      <c r="BV5" s="7">
        <f t="shared" si="4"/>
        <v>65</v>
      </c>
      <c r="BW5" s="7">
        <f xml:space="preserve"> BW$9</f>
        <v>66</v>
      </c>
      <c r="BX5" s="7">
        <f xml:space="preserve"> BX$9</f>
        <v>67</v>
      </c>
      <c r="BY5" s="7">
        <f xml:space="preserve"> BY$9</f>
        <v>68</v>
      </c>
    </row>
    <row r="7" spans="1:77" s="61" customFormat="1" x14ac:dyDescent="0.2">
      <c r="A7" s="50" t="s">
        <v>12</v>
      </c>
      <c r="B7" s="50"/>
      <c r="C7" s="51"/>
      <c r="D7" s="60"/>
      <c r="G7" s="62"/>
    </row>
    <row r="8" spans="1:77" s="61" customFormat="1" x14ac:dyDescent="0.2">
      <c r="A8" s="50"/>
      <c r="B8" s="50"/>
      <c r="C8" s="51"/>
      <c r="D8" s="60"/>
      <c r="G8" s="62"/>
    </row>
    <row r="9" spans="1:77" s="109" customFormat="1" x14ac:dyDescent="0.2">
      <c r="A9" s="106"/>
      <c r="B9" s="106"/>
      <c r="C9" s="107"/>
      <c r="D9" s="108"/>
      <c r="E9" s="84" t="s">
        <v>2</v>
      </c>
      <c r="G9" s="109" t="s">
        <v>47</v>
      </c>
      <c r="I9" s="110"/>
      <c r="J9" s="109">
        <f t="shared" ref="J9:BU9" si="5" xml:space="preserve"> I9 + 1</f>
        <v>1</v>
      </c>
      <c r="K9" s="109">
        <f t="shared" si="5"/>
        <v>2</v>
      </c>
      <c r="L9" s="109">
        <f t="shared" si="5"/>
        <v>3</v>
      </c>
      <c r="M9" s="109">
        <f t="shared" si="5"/>
        <v>4</v>
      </c>
      <c r="N9" s="109">
        <f t="shared" si="5"/>
        <v>5</v>
      </c>
      <c r="O9" s="109">
        <f t="shared" si="5"/>
        <v>6</v>
      </c>
      <c r="P9" s="109">
        <f t="shared" si="5"/>
        <v>7</v>
      </c>
      <c r="Q9" s="109">
        <f t="shared" si="5"/>
        <v>8</v>
      </c>
      <c r="R9" s="109">
        <f t="shared" si="5"/>
        <v>9</v>
      </c>
      <c r="S9" s="109">
        <f t="shared" si="5"/>
        <v>10</v>
      </c>
      <c r="T9" s="109">
        <f t="shared" si="5"/>
        <v>11</v>
      </c>
      <c r="U9" s="109">
        <f t="shared" si="5"/>
        <v>12</v>
      </c>
      <c r="V9" s="109">
        <f t="shared" si="5"/>
        <v>13</v>
      </c>
      <c r="W9" s="109">
        <f t="shared" si="5"/>
        <v>14</v>
      </c>
      <c r="X9" s="109">
        <f t="shared" si="5"/>
        <v>15</v>
      </c>
      <c r="Y9" s="109">
        <f t="shared" si="5"/>
        <v>16</v>
      </c>
      <c r="Z9" s="109">
        <f t="shared" si="5"/>
        <v>17</v>
      </c>
      <c r="AA9" s="109">
        <f t="shared" si="5"/>
        <v>18</v>
      </c>
      <c r="AB9" s="109">
        <f t="shared" si="5"/>
        <v>19</v>
      </c>
      <c r="AC9" s="109">
        <f t="shared" si="5"/>
        <v>20</v>
      </c>
      <c r="AD9" s="109">
        <f t="shared" si="5"/>
        <v>21</v>
      </c>
      <c r="AE9" s="109">
        <f t="shared" si="5"/>
        <v>22</v>
      </c>
      <c r="AF9" s="109">
        <f t="shared" si="5"/>
        <v>23</v>
      </c>
      <c r="AG9" s="109">
        <f t="shared" si="5"/>
        <v>24</v>
      </c>
      <c r="AH9" s="109">
        <f t="shared" si="5"/>
        <v>25</v>
      </c>
      <c r="AI9" s="109">
        <f t="shared" si="5"/>
        <v>26</v>
      </c>
      <c r="AJ9" s="109">
        <f t="shared" si="5"/>
        <v>27</v>
      </c>
      <c r="AK9" s="109">
        <f t="shared" si="5"/>
        <v>28</v>
      </c>
      <c r="AL9" s="109">
        <f t="shared" si="5"/>
        <v>29</v>
      </c>
      <c r="AM9" s="109">
        <f t="shared" si="5"/>
        <v>30</v>
      </c>
      <c r="AN9" s="109">
        <f t="shared" si="5"/>
        <v>31</v>
      </c>
      <c r="AO9" s="109">
        <f t="shared" si="5"/>
        <v>32</v>
      </c>
      <c r="AP9" s="109">
        <f t="shared" si="5"/>
        <v>33</v>
      </c>
      <c r="AQ9" s="109">
        <f t="shared" si="5"/>
        <v>34</v>
      </c>
      <c r="AR9" s="109">
        <f t="shared" si="5"/>
        <v>35</v>
      </c>
      <c r="AS9" s="109">
        <f t="shared" si="5"/>
        <v>36</v>
      </c>
      <c r="AT9" s="109">
        <f t="shared" si="5"/>
        <v>37</v>
      </c>
      <c r="AU9" s="109">
        <f t="shared" si="5"/>
        <v>38</v>
      </c>
      <c r="AV9" s="109">
        <f t="shared" si="5"/>
        <v>39</v>
      </c>
      <c r="AW9" s="109">
        <f t="shared" si="5"/>
        <v>40</v>
      </c>
      <c r="AX9" s="109">
        <f t="shared" si="5"/>
        <v>41</v>
      </c>
      <c r="AY9" s="109">
        <f t="shared" si="5"/>
        <v>42</v>
      </c>
      <c r="AZ9" s="109">
        <f t="shared" si="5"/>
        <v>43</v>
      </c>
      <c r="BA9" s="109">
        <f t="shared" si="5"/>
        <v>44</v>
      </c>
      <c r="BB9" s="109">
        <f t="shared" si="5"/>
        <v>45</v>
      </c>
      <c r="BC9" s="109">
        <f t="shared" si="5"/>
        <v>46</v>
      </c>
      <c r="BD9" s="109">
        <f t="shared" si="5"/>
        <v>47</v>
      </c>
      <c r="BE9" s="109">
        <f t="shared" si="5"/>
        <v>48</v>
      </c>
      <c r="BF9" s="109">
        <f t="shared" si="5"/>
        <v>49</v>
      </c>
      <c r="BG9" s="109">
        <f t="shared" si="5"/>
        <v>50</v>
      </c>
      <c r="BH9" s="109">
        <f t="shared" si="5"/>
        <v>51</v>
      </c>
      <c r="BI9" s="109">
        <f t="shared" si="5"/>
        <v>52</v>
      </c>
      <c r="BJ9" s="109">
        <f t="shared" si="5"/>
        <v>53</v>
      </c>
      <c r="BK9" s="109">
        <f t="shared" si="5"/>
        <v>54</v>
      </c>
      <c r="BL9" s="109">
        <f t="shared" si="5"/>
        <v>55</v>
      </c>
      <c r="BM9" s="109">
        <f t="shared" si="5"/>
        <v>56</v>
      </c>
      <c r="BN9" s="109">
        <f t="shared" si="5"/>
        <v>57</v>
      </c>
      <c r="BO9" s="109">
        <f t="shared" si="5"/>
        <v>58</v>
      </c>
      <c r="BP9" s="109">
        <f t="shared" si="5"/>
        <v>59</v>
      </c>
      <c r="BQ9" s="109">
        <f t="shared" si="5"/>
        <v>60</v>
      </c>
      <c r="BR9" s="109">
        <f t="shared" si="5"/>
        <v>61</v>
      </c>
      <c r="BS9" s="109">
        <f t="shared" si="5"/>
        <v>62</v>
      </c>
      <c r="BT9" s="109">
        <f t="shared" si="5"/>
        <v>63</v>
      </c>
      <c r="BU9" s="109">
        <f t="shared" si="5"/>
        <v>64</v>
      </c>
      <c r="BV9" s="109">
        <f xml:space="preserve"> BU9 + 1</f>
        <v>65</v>
      </c>
      <c r="BW9" s="109">
        <f xml:space="preserve"> BV9 + 1</f>
        <v>66</v>
      </c>
      <c r="BX9" s="109">
        <f xml:space="preserve"> BW9 + 1</f>
        <v>67</v>
      </c>
      <c r="BY9" s="109">
        <f xml:space="preserve"> BX9 + 1</f>
        <v>68</v>
      </c>
    </row>
    <row r="10" spans="1:77" s="64" customFormat="1" x14ac:dyDescent="0.2">
      <c r="A10" s="5"/>
      <c r="B10" s="5"/>
      <c r="C10" s="12"/>
      <c r="D10" s="63"/>
      <c r="E10" s="27" t="s">
        <v>3</v>
      </c>
      <c r="G10" s="64" t="s">
        <v>16</v>
      </c>
      <c r="H10" s="64">
        <f>SUM(J10:BY10)</f>
        <v>1</v>
      </c>
      <c r="J10" s="64">
        <f xml:space="preserve"> IF(J9 = 1, 1, 0)</f>
        <v>1</v>
      </c>
      <c r="K10" s="64">
        <f t="shared" ref="K10:BV10" si="6" xml:space="preserve"> IF(K9 = 1, 1, 0)</f>
        <v>0</v>
      </c>
      <c r="L10" s="64">
        <f t="shared" si="6"/>
        <v>0</v>
      </c>
      <c r="M10" s="64">
        <f t="shared" si="6"/>
        <v>0</v>
      </c>
      <c r="N10" s="64">
        <f t="shared" si="6"/>
        <v>0</v>
      </c>
      <c r="O10" s="64">
        <f t="shared" si="6"/>
        <v>0</v>
      </c>
      <c r="P10" s="64">
        <f t="shared" si="6"/>
        <v>0</v>
      </c>
      <c r="Q10" s="64">
        <f t="shared" si="6"/>
        <v>0</v>
      </c>
      <c r="R10" s="64">
        <f t="shared" si="6"/>
        <v>0</v>
      </c>
      <c r="S10" s="64">
        <f t="shared" si="6"/>
        <v>0</v>
      </c>
      <c r="T10" s="64">
        <f t="shared" si="6"/>
        <v>0</v>
      </c>
      <c r="U10" s="64">
        <f t="shared" si="6"/>
        <v>0</v>
      </c>
      <c r="V10" s="64">
        <f t="shared" si="6"/>
        <v>0</v>
      </c>
      <c r="W10" s="64">
        <f t="shared" si="6"/>
        <v>0</v>
      </c>
      <c r="X10" s="64">
        <f t="shared" si="6"/>
        <v>0</v>
      </c>
      <c r="Y10" s="64">
        <f t="shared" si="6"/>
        <v>0</v>
      </c>
      <c r="Z10" s="64">
        <f t="shared" si="6"/>
        <v>0</v>
      </c>
      <c r="AA10" s="64">
        <f t="shared" si="6"/>
        <v>0</v>
      </c>
      <c r="AB10" s="64">
        <f t="shared" si="6"/>
        <v>0</v>
      </c>
      <c r="AC10" s="64">
        <f t="shared" si="6"/>
        <v>0</v>
      </c>
      <c r="AD10" s="64">
        <f t="shared" si="6"/>
        <v>0</v>
      </c>
      <c r="AE10" s="64">
        <f t="shared" si="6"/>
        <v>0</v>
      </c>
      <c r="AF10" s="64">
        <f t="shared" si="6"/>
        <v>0</v>
      </c>
      <c r="AG10" s="64">
        <f t="shared" si="6"/>
        <v>0</v>
      </c>
      <c r="AH10" s="64">
        <f t="shared" si="6"/>
        <v>0</v>
      </c>
      <c r="AI10" s="64">
        <f t="shared" si="6"/>
        <v>0</v>
      </c>
      <c r="AJ10" s="64">
        <f t="shared" si="6"/>
        <v>0</v>
      </c>
      <c r="AK10" s="64">
        <f t="shared" si="6"/>
        <v>0</v>
      </c>
      <c r="AL10" s="64">
        <f t="shared" si="6"/>
        <v>0</v>
      </c>
      <c r="AM10" s="64">
        <f t="shared" si="6"/>
        <v>0</v>
      </c>
      <c r="AN10" s="64">
        <f t="shared" si="6"/>
        <v>0</v>
      </c>
      <c r="AO10" s="64">
        <f t="shared" si="6"/>
        <v>0</v>
      </c>
      <c r="AP10" s="64">
        <f t="shared" si="6"/>
        <v>0</v>
      </c>
      <c r="AQ10" s="64">
        <f t="shared" si="6"/>
        <v>0</v>
      </c>
      <c r="AR10" s="64">
        <f t="shared" si="6"/>
        <v>0</v>
      </c>
      <c r="AS10" s="64">
        <f t="shared" si="6"/>
        <v>0</v>
      </c>
      <c r="AT10" s="64">
        <f t="shared" si="6"/>
        <v>0</v>
      </c>
      <c r="AU10" s="64">
        <f t="shared" si="6"/>
        <v>0</v>
      </c>
      <c r="AV10" s="64">
        <f t="shared" si="6"/>
        <v>0</v>
      </c>
      <c r="AW10" s="64">
        <f t="shared" si="6"/>
        <v>0</v>
      </c>
      <c r="AX10" s="64">
        <f t="shared" si="6"/>
        <v>0</v>
      </c>
      <c r="AY10" s="64">
        <f t="shared" si="6"/>
        <v>0</v>
      </c>
      <c r="AZ10" s="64">
        <f t="shared" si="6"/>
        <v>0</v>
      </c>
      <c r="BA10" s="64">
        <f t="shared" si="6"/>
        <v>0</v>
      </c>
      <c r="BB10" s="64">
        <f t="shared" si="6"/>
        <v>0</v>
      </c>
      <c r="BC10" s="64">
        <f t="shared" si="6"/>
        <v>0</v>
      </c>
      <c r="BD10" s="64">
        <f t="shared" si="6"/>
        <v>0</v>
      </c>
      <c r="BE10" s="64">
        <f t="shared" si="6"/>
        <v>0</v>
      </c>
      <c r="BF10" s="64">
        <f t="shared" si="6"/>
        <v>0</v>
      </c>
      <c r="BG10" s="64">
        <f t="shared" si="6"/>
        <v>0</v>
      </c>
      <c r="BH10" s="64">
        <f t="shared" si="6"/>
        <v>0</v>
      </c>
      <c r="BI10" s="64">
        <f t="shared" si="6"/>
        <v>0</v>
      </c>
      <c r="BJ10" s="64">
        <f t="shared" si="6"/>
        <v>0</v>
      </c>
      <c r="BK10" s="64">
        <f t="shared" si="6"/>
        <v>0</v>
      </c>
      <c r="BL10" s="64">
        <f t="shared" si="6"/>
        <v>0</v>
      </c>
      <c r="BM10" s="64">
        <f t="shared" si="6"/>
        <v>0</v>
      </c>
      <c r="BN10" s="64">
        <f t="shared" si="6"/>
        <v>0</v>
      </c>
      <c r="BO10" s="64">
        <f t="shared" si="6"/>
        <v>0</v>
      </c>
      <c r="BP10" s="64">
        <f t="shared" si="6"/>
        <v>0</v>
      </c>
      <c r="BQ10" s="64">
        <f t="shared" si="6"/>
        <v>0</v>
      </c>
      <c r="BR10" s="64">
        <f t="shared" si="6"/>
        <v>0</v>
      </c>
      <c r="BS10" s="64">
        <f t="shared" si="6"/>
        <v>0</v>
      </c>
      <c r="BT10" s="64">
        <f t="shared" si="6"/>
        <v>0</v>
      </c>
      <c r="BU10" s="64">
        <f t="shared" si="6"/>
        <v>0</v>
      </c>
      <c r="BV10" s="64">
        <f t="shared" si="6"/>
        <v>0</v>
      </c>
      <c r="BW10" s="64">
        <f xml:space="preserve"> IF(BW9 = 1, 1, 0)</f>
        <v>0</v>
      </c>
      <c r="BX10" s="64">
        <f xml:space="preserve"> IF(BX9 = 1, 1, 0)</f>
        <v>0</v>
      </c>
      <c r="BY10" s="64">
        <f xml:space="preserve"> IF(BY9 = 1, 1, 0)</f>
        <v>0</v>
      </c>
    </row>
    <row r="11" spans="1:77" s="64" customFormat="1" x14ac:dyDescent="0.2">
      <c r="A11" s="5"/>
      <c r="B11" s="5"/>
      <c r="C11" s="12"/>
      <c r="D11" s="63"/>
    </row>
    <row r="12" spans="1:77" s="117" customFormat="1" x14ac:dyDescent="0.2">
      <c r="A12" s="114"/>
      <c r="B12" s="114"/>
      <c r="C12" s="115"/>
      <c r="D12" s="116"/>
      <c r="E12" s="117" t="str">
        <f xml:space="preserve"> InpC!E$9</f>
        <v>1st model column start date</v>
      </c>
      <c r="F12" s="117">
        <f xml:space="preserve"> InpC!F$9</f>
        <v>40664</v>
      </c>
      <c r="G12" s="117" t="str">
        <f xml:space="preserve"> InpC!G$9</f>
        <v>date</v>
      </c>
    </row>
    <row r="13" spans="1:77" s="118" customFormat="1" x14ac:dyDescent="0.2">
      <c r="E13" s="118" t="str">
        <f xml:space="preserve"> InpC!E$11</f>
        <v>Months per model period</v>
      </c>
      <c r="F13" s="118">
        <f xml:space="preserve"> InpC!F$11</f>
        <v>1</v>
      </c>
      <c r="G13" s="118" t="str">
        <f xml:space="preserve"> InpC!G$11</f>
        <v>months</v>
      </c>
    </row>
    <row r="14" spans="1:77" s="64" customFormat="1" x14ac:dyDescent="0.2">
      <c r="A14" s="5"/>
      <c r="B14" s="5"/>
      <c r="C14" s="12"/>
      <c r="D14" s="63"/>
      <c r="E14" s="64" t="str">
        <f t="shared" ref="E14:AJ14" si="7" xml:space="preserve"> E$10</f>
        <v>First model column flag</v>
      </c>
      <c r="F14" s="64">
        <f t="shared" si="7"/>
        <v>0</v>
      </c>
      <c r="G14" s="64" t="str">
        <f t="shared" si="7"/>
        <v>flag</v>
      </c>
      <c r="H14" s="64">
        <f t="shared" si="7"/>
        <v>1</v>
      </c>
      <c r="I14" s="64">
        <f t="shared" si="7"/>
        <v>0</v>
      </c>
      <c r="J14" s="64">
        <f t="shared" si="7"/>
        <v>1</v>
      </c>
      <c r="K14" s="64">
        <f t="shared" si="7"/>
        <v>0</v>
      </c>
      <c r="L14" s="64">
        <f t="shared" si="7"/>
        <v>0</v>
      </c>
      <c r="M14" s="64">
        <f t="shared" si="7"/>
        <v>0</v>
      </c>
      <c r="N14" s="64">
        <f t="shared" si="7"/>
        <v>0</v>
      </c>
      <c r="O14" s="64">
        <f t="shared" si="7"/>
        <v>0</v>
      </c>
      <c r="P14" s="64">
        <f t="shared" si="7"/>
        <v>0</v>
      </c>
      <c r="Q14" s="64">
        <f t="shared" si="7"/>
        <v>0</v>
      </c>
      <c r="R14" s="64">
        <f t="shared" si="7"/>
        <v>0</v>
      </c>
      <c r="S14" s="64">
        <f t="shared" si="7"/>
        <v>0</v>
      </c>
      <c r="T14" s="64">
        <f t="shared" si="7"/>
        <v>0</v>
      </c>
      <c r="U14" s="64">
        <f t="shared" si="7"/>
        <v>0</v>
      </c>
      <c r="V14" s="64">
        <f t="shared" si="7"/>
        <v>0</v>
      </c>
      <c r="W14" s="64">
        <f t="shared" si="7"/>
        <v>0</v>
      </c>
      <c r="X14" s="64">
        <f t="shared" si="7"/>
        <v>0</v>
      </c>
      <c r="Y14" s="64">
        <f t="shared" si="7"/>
        <v>0</v>
      </c>
      <c r="Z14" s="64">
        <f t="shared" si="7"/>
        <v>0</v>
      </c>
      <c r="AA14" s="64">
        <f t="shared" si="7"/>
        <v>0</v>
      </c>
      <c r="AB14" s="64">
        <f t="shared" si="7"/>
        <v>0</v>
      </c>
      <c r="AC14" s="64">
        <f t="shared" si="7"/>
        <v>0</v>
      </c>
      <c r="AD14" s="64">
        <f t="shared" si="7"/>
        <v>0</v>
      </c>
      <c r="AE14" s="64">
        <f t="shared" si="7"/>
        <v>0</v>
      </c>
      <c r="AF14" s="64">
        <f t="shared" si="7"/>
        <v>0</v>
      </c>
      <c r="AG14" s="64">
        <f t="shared" si="7"/>
        <v>0</v>
      </c>
      <c r="AH14" s="64">
        <f t="shared" si="7"/>
        <v>0</v>
      </c>
      <c r="AI14" s="64">
        <f t="shared" si="7"/>
        <v>0</v>
      </c>
      <c r="AJ14" s="64">
        <f t="shared" si="7"/>
        <v>0</v>
      </c>
      <c r="AK14" s="64">
        <f t="shared" ref="AK14:BP14" si="8" xml:space="preserve"> AK$10</f>
        <v>0</v>
      </c>
      <c r="AL14" s="64">
        <f t="shared" si="8"/>
        <v>0</v>
      </c>
      <c r="AM14" s="64">
        <f t="shared" si="8"/>
        <v>0</v>
      </c>
      <c r="AN14" s="64">
        <f t="shared" si="8"/>
        <v>0</v>
      </c>
      <c r="AO14" s="64">
        <f t="shared" si="8"/>
        <v>0</v>
      </c>
      <c r="AP14" s="64">
        <f t="shared" si="8"/>
        <v>0</v>
      </c>
      <c r="AQ14" s="64">
        <f t="shared" si="8"/>
        <v>0</v>
      </c>
      <c r="AR14" s="64">
        <f t="shared" si="8"/>
        <v>0</v>
      </c>
      <c r="AS14" s="64">
        <f t="shared" si="8"/>
        <v>0</v>
      </c>
      <c r="AT14" s="64">
        <f t="shared" si="8"/>
        <v>0</v>
      </c>
      <c r="AU14" s="64">
        <f t="shared" si="8"/>
        <v>0</v>
      </c>
      <c r="AV14" s="64">
        <f t="shared" si="8"/>
        <v>0</v>
      </c>
      <c r="AW14" s="64">
        <f t="shared" si="8"/>
        <v>0</v>
      </c>
      <c r="AX14" s="64">
        <f t="shared" si="8"/>
        <v>0</v>
      </c>
      <c r="AY14" s="64">
        <f t="shared" si="8"/>
        <v>0</v>
      </c>
      <c r="AZ14" s="64">
        <f t="shared" si="8"/>
        <v>0</v>
      </c>
      <c r="BA14" s="64">
        <f t="shared" si="8"/>
        <v>0</v>
      </c>
      <c r="BB14" s="64">
        <f t="shared" si="8"/>
        <v>0</v>
      </c>
      <c r="BC14" s="64">
        <f t="shared" si="8"/>
        <v>0</v>
      </c>
      <c r="BD14" s="64">
        <f t="shared" si="8"/>
        <v>0</v>
      </c>
      <c r="BE14" s="64">
        <f t="shared" si="8"/>
        <v>0</v>
      </c>
      <c r="BF14" s="64">
        <f t="shared" si="8"/>
        <v>0</v>
      </c>
      <c r="BG14" s="64">
        <f t="shared" si="8"/>
        <v>0</v>
      </c>
      <c r="BH14" s="64">
        <f t="shared" si="8"/>
        <v>0</v>
      </c>
      <c r="BI14" s="64">
        <f t="shared" si="8"/>
        <v>0</v>
      </c>
      <c r="BJ14" s="64">
        <f t="shared" si="8"/>
        <v>0</v>
      </c>
      <c r="BK14" s="64">
        <f t="shared" si="8"/>
        <v>0</v>
      </c>
      <c r="BL14" s="64">
        <f t="shared" si="8"/>
        <v>0</v>
      </c>
      <c r="BM14" s="64">
        <f t="shared" si="8"/>
        <v>0</v>
      </c>
      <c r="BN14" s="64">
        <f t="shared" si="8"/>
        <v>0</v>
      </c>
      <c r="BO14" s="64">
        <f t="shared" si="8"/>
        <v>0</v>
      </c>
      <c r="BP14" s="64">
        <f t="shared" si="8"/>
        <v>0</v>
      </c>
      <c r="BQ14" s="64">
        <f t="shared" ref="BQ14:BY14" si="9" xml:space="preserve"> BQ$10</f>
        <v>0</v>
      </c>
      <c r="BR14" s="64">
        <f t="shared" si="9"/>
        <v>0</v>
      </c>
      <c r="BS14" s="64">
        <f t="shared" si="9"/>
        <v>0</v>
      </c>
      <c r="BT14" s="64">
        <f t="shared" si="9"/>
        <v>0</v>
      </c>
      <c r="BU14" s="64">
        <f t="shared" si="9"/>
        <v>0</v>
      </c>
      <c r="BV14" s="64">
        <f t="shared" si="9"/>
        <v>0</v>
      </c>
      <c r="BW14" s="64">
        <f t="shared" si="9"/>
        <v>0</v>
      </c>
      <c r="BX14" s="64">
        <f t="shared" si="9"/>
        <v>0</v>
      </c>
      <c r="BY14" s="64">
        <f t="shared" si="9"/>
        <v>0</v>
      </c>
    </row>
    <row r="15" spans="1:77" s="84" customFormat="1" x14ac:dyDescent="0.2">
      <c r="A15" s="16"/>
      <c r="B15" s="16"/>
      <c r="C15" s="28"/>
      <c r="D15" s="83"/>
      <c r="E15" s="84" t="s">
        <v>84</v>
      </c>
      <c r="G15" s="84" t="s">
        <v>17</v>
      </c>
      <c r="I15" s="85"/>
      <c r="J15" s="84">
        <f xml:space="preserve"> IF(J14 = 1, $F12, DATE(YEAR(I15), MONTH(I15) + $F13, DAY(1)))</f>
        <v>40664</v>
      </c>
      <c r="K15" s="84">
        <f t="shared" ref="K15:BV15" si="10" xml:space="preserve"> IF(K14 = 1, $F12, J19 + 1)</f>
        <v>40695</v>
      </c>
      <c r="L15" s="84">
        <f t="shared" si="10"/>
        <v>40725</v>
      </c>
      <c r="M15" s="84">
        <f t="shared" si="10"/>
        <v>40756</v>
      </c>
      <c r="N15" s="84">
        <f t="shared" si="10"/>
        <v>40787</v>
      </c>
      <c r="O15" s="84">
        <f t="shared" si="10"/>
        <v>40817</v>
      </c>
      <c r="P15" s="84">
        <f t="shared" si="10"/>
        <v>40848</v>
      </c>
      <c r="Q15" s="84">
        <f t="shared" si="10"/>
        <v>40878</v>
      </c>
      <c r="R15" s="84">
        <f t="shared" si="10"/>
        <v>40909</v>
      </c>
      <c r="S15" s="84">
        <f t="shared" si="10"/>
        <v>40940</v>
      </c>
      <c r="T15" s="84">
        <f t="shared" si="10"/>
        <v>40969</v>
      </c>
      <c r="U15" s="84">
        <f t="shared" si="10"/>
        <v>41000</v>
      </c>
      <c r="V15" s="84">
        <f t="shared" si="10"/>
        <v>41030</v>
      </c>
      <c r="W15" s="84">
        <f t="shared" si="10"/>
        <v>41061</v>
      </c>
      <c r="X15" s="84">
        <f t="shared" si="10"/>
        <v>41091</v>
      </c>
      <c r="Y15" s="84">
        <f t="shared" si="10"/>
        <v>41122</v>
      </c>
      <c r="Z15" s="84">
        <f t="shared" si="10"/>
        <v>41153</v>
      </c>
      <c r="AA15" s="84">
        <f t="shared" si="10"/>
        <v>41183</v>
      </c>
      <c r="AB15" s="84">
        <f t="shared" si="10"/>
        <v>41214</v>
      </c>
      <c r="AC15" s="84">
        <f t="shared" si="10"/>
        <v>41244</v>
      </c>
      <c r="AD15" s="84">
        <f t="shared" si="10"/>
        <v>41275</v>
      </c>
      <c r="AE15" s="84">
        <f t="shared" si="10"/>
        <v>41306</v>
      </c>
      <c r="AF15" s="84">
        <f t="shared" si="10"/>
        <v>41334</v>
      </c>
      <c r="AG15" s="84">
        <f t="shared" si="10"/>
        <v>41365</v>
      </c>
      <c r="AH15" s="84">
        <f t="shared" si="10"/>
        <v>41395</v>
      </c>
      <c r="AI15" s="84">
        <f t="shared" si="10"/>
        <v>41426</v>
      </c>
      <c r="AJ15" s="84">
        <f t="shared" si="10"/>
        <v>41456</v>
      </c>
      <c r="AK15" s="84">
        <f t="shared" si="10"/>
        <v>41487</v>
      </c>
      <c r="AL15" s="84">
        <f t="shared" si="10"/>
        <v>41518</v>
      </c>
      <c r="AM15" s="84">
        <f t="shared" si="10"/>
        <v>41548</v>
      </c>
      <c r="AN15" s="84">
        <f t="shared" si="10"/>
        <v>41579</v>
      </c>
      <c r="AO15" s="84">
        <f t="shared" si="10"/>
        <v>41609</v>
      </c>
      <c r="AP15" s="84">
        <f t="shared" si="10"/>
        <v>41640</v>
      </c>
      <c r="AQ15" s="84">
        <f t="shared" si="10"/>
        <v>41671</v>
      </c>
      <c r="AR15" s="84">
        <f t="shared" si="10"/>
        <v>41699</v>
      </c>
      <c r="AS15" s="84">
        <f t="shared" si="10"/>
        <v>41730</v>
      </c>
      <c r="AT15" s="84">
        <f t="shared" si="10"/>
        <v>41760</v>
      </c>
      <c r="AU15" s="84">
        <f t="shared" si="10"/>
        <v>41791</v>
      </c>
      <c r="AV15" s="84">
        <f t="shared" si="10"/>
        <v>41821</v>
      </c>
      <c r="AW15" s="84">
        <f t="shared" si="10"/>
        <v>41852</v>
      </c>
      <c r="AX15" s="84">
        <f t="shared" si="10"/>
        <v>41883</v>
      </c>
      <c r="AY15" s="84">
        <f t="shared" si="10"/>
        <v>41913</v>
      </c>
      <c r="AZ15" s="84">
        <f t="shared" si="10"/>
        <v>41944</v>
      </c>
      <c r="BA15" s="84">
        <f t="shared" si="10"/>
        <v>41974</v>
      </c>
      <c r="BB15" s="84">
        <f t="shared" si="10"/>
        <v>42005</v>
      </c>
      <c r="BC15" s="84">
        <f t="shared" si="10"/>
        <v>42036</v>
      </c>
      <c r="BD15" s="84">
        <f t="shared" si="10"/>
        <v>42064</v>
      </c>
      <c r="BE15" s="84">
        <f t="shared" si="10"/>
        <v>42095</v>
      </c>
      <c r="BF15" s="84">
        <f t="shared" si="10"/>
        <v>42125</v>
      </c>
      <c r="BG15" s="84">
        <f t="shared" si="10"/>
        <v>42156</v>
      </c>
      <c r="BH15" s="84">
        <f t="shared" si="10"/>
        <v>42186</v>
      </c>
      <c r="BI15" s="84">
        <f t="shared" si="10"/>
        <v>42217</v>
      </c>
      <c r="BJ15" s="84">
        <f t="shared" si="10"/>
        <v>42248</v>
      </c>
      <c r="BK15" s="84">
        <f t="shared" si="10"/>
        <v>42278</v>
      </c>
      <c r="BL15" s="84">
        <f t="shared" si="10"/>
        <v>42309</v>
      </c>
      <c r="BM15" s="84">
        <f t="shared" si="10"/>
        <v>42339</v>
      </c>
      <c r="BN15" s="84">
        <f t="shared" si="10"/>
        <v>42370</v>
      </c>
      <c r="BO15" s="84">
        <f t="shared" si="10"/>
        <v>42401</v>
      </c>
      <c r="BP15" s="84">
        <f t="shared" si="10"/>
        <v>42430</v>
      </c>
      <c r="BQ15" s="84">
        <f t="shared" si="10"/>
        <v>42461</v>
      </c>
      <c r="BR15" s="84">
        <f t="shared" si="10"/>
        <v>42491</v>
      </c>
      <c r="BS15" s="84">
        <f t="shared" si="10"/>
        <v>42522</v>
      </c>
      <c r="BT15" s="84">
        <f t="shared" si="10"/>
        <v>42552</v>
      </c>
      <c r="BU15" s="84">
        <f t="shared" si="10"/>
        <v>42583</v>
      </c>
      <c r="BV15" s="84">
        <f t="shared" si="10"/>
        <v>42614</v>
      </c>
      <c r="BW15" s="84">
        <f xml:space="preserve"> IF(BW14 = 1, $F12, BV19 + 1)</f>
        <v>42644</v>
      </c>
      <c r="BX15" s="84">
        <f xml:space="preserve"> IF(BX14 = 1, $F12, BW19 + 1)</f>
        <v>42675</v>
      </c>
      <c r="BY15" s="84">
        <f xml:space="preserve"> IF(BY14 = 1, $F12, BX19 + 1)</f>
        <v>42705</v>
      </c>
    </row>
    <row r="16" spans="1:77" s="146" customFormat="1" x14ac:dyDescent="0.2">
      <c r="A16" s="144"/>
      <c r="B16" s="144"/>
      <c r="C16" s="145"/>
    </row>
    <row r="17" spans="1:77" s="118" customFormat="1" x14ac:dyDescent="0.2">
      <c r="E17" s="118" t="str">
        <f xml:space="preserve"> InpC!E$11</f>
        <v>Months per model period</v>
      </c>
      <c r="F17" s="118">
        <f xml:space="preserve"> InpC!F$11</f>
        <v>1</v>
      </c>
      <c r="G17" s="118" t="str">
        <f xml:space="preserve"> InpC!G$11</f>
        <v>months</v>
      </c>
    </row>
    <row r="18" spans="1:77" s="84" customFormat="1" x14ac:dyDescent="0.2">
      <c r="A18" s="16"/>
      <c r="B18" s="16"/>
      <c r="C18" s="28"/>
      <c r="D18" s="83"/>
      <c r="E18" s="84" t="str">
        <f xml:space="preserve"> E$15</f>
        <v xml:space="preserve">Model period beginning </v>
      </c>
      <c r="F18" s="84">
        <f t="shared" ref="F18:BQ18" si="11" xml:space="preserve"> F$15</f>
        <v>0</v>
      </c>
      <c r="G18" s="84" t="str">
        <f t="shared" si="11"/>
        <v>date</v>
      </c>
      <c r="H18" s="84">
        <f t="shared" si="11"/>
        <v>0</v>
      </c>
      <c r="I18" s="84">
        <f t="shared" si="11"/>
        <v>0</v>
      </c>
      <c r="J18" s="84">
        <f t="shared" si="11"/>
        <v>40664</v>
      </c>
      <c r="K18" s="84">
        <f t="shared" si="11"/>
        <v>40695</v>
      </c>
      <c r="L18" s="84">
        <f t="shared" si="11"/>
        <v>40725</v>
      </c>
      <c r="M18" s="84">
        <f t="shared" si="11"/>
        <v>40756</v>
      </c>
      <c r="N18" s="84">
        <f t="shared" si="11"/>
        <v>40787</v>
      </c>
      <c r="O18" s="84">
        <f t="shared" si="11"/>
        <v>40817</v>
      </c>
      <c r="P18" s="84">
        <f t="shared" si="11"/>
        <v>40848</v>
      </c>
      <c r="Q18" s="84">
        <f t="shared" si="11"/>
        <v>40878</v>
      </c>
      <c r="R18" s="84">
        <f t="shared" si="11"/>
        <v>40909</v>
      </c>
      <c r="S18" s="84">
        <f t="shared" si="11"/>
        <v>40940</v>
      </c>
      <c r="T18" s="84">
        <f t="shared" si="11"/>
        <v>40969</v>
      </c>
      <c r="U18" s="84">
        <f t="shared" si="11"/>
        <v>41000</v>
      </c>
      <c r="V18" s="84">
        <f t="shared" si="11"/>
        <v>41030</v>
      </c>
      <c r="W18" s="84">
        <f t="shared" si="11"/>
        <v>41061</v>
      </c>
      <c r="X18" s="84">
        <f t="shared" si="11"/>
        <v>41091</v>
      </c>
      <c r="Y18" s="84">
        <f t="shared" si="11"/>
        <v>41122</v>
      </c>
      <c r="Z18" s="84">
        <f t="shared" si="11"/>
        <v>41153</v>
      </c>
      <c r="AA18" s="84">
        <f t="shared" si="11"/>
        <v>41183</v>
      </c>
      <c r="AB18" s="84">
        <f t="shared" si="11"/>
        <v>41214</v>
      </c>
      <c r="AC18" s="84">
        <f t="shared" si="11"/>
        <v>41244</v>
      </c>
      <c r="AD18" s="84">
        <f t="shared" si="11"/>
        <v>41275</v>
      </c>
      <c r="AE18" s="84">
        <f t="shared" si="11"/>
        <v>41306</v>
      </c>
      <c r="AF18" s="84">
        <f t="shared" si="11"/>
        <v>41334</v>
      </c>
      <c r="AG18" s="84">
        <f t="shared" si="11"/>
        <v>41365</v>
      </c>
      <c r="AH18" s="84">
        <f t="shared" si="11"/>
        <v>41395</v>
      </c>
      <c r="AI18" s="84">
        <f t="shared" si="11"/>
        <v>41426</v>
      </c>
      <c r="AJ18" s="84">
        <f t="shared" si="11"/>
        <v>41456</v>
      </c>
      <c r="AK18" s="84">
        <f t="shared" si="11"/>
        <v>41487</v>
      </c>
      <c r="AL18" s="84">
        <f t="shared" si="11"/>
        <v>41518</v>
      </c>
      <c r="AM18" s="84">
        <f t="shared" si="11"/>
        <v>41548</v>
      </c>
      <c r="AN18" s="84">
        <f t="shared" si="11"/>
        <v>41579</v>
      </c>
      <c r="AO18" s="84">
        <f t="shared" si="11"/>
        <v>41609</v>
      </c>
      <c r="AP18" s="84">
        <f t="shared" si="11"/>
        <v>41640</v>
      </c>
      <c r="AQ18" s="84">
        <f t="shared" si="11"/>
        <v>41671</v>
      </c>
      <c r="AR18" s="84">
        <f t="shared" si="11"/>
        <v>41699</v>
      </c>
      <c r="AS18" s="84">
        <f t="shared" si="11"/>
        <v>41730</v>
      </c>
      <c r="AT18" s="84">
        <f t="shared" si="11"/>
        <v>41760</v>
      </c>
      <c r="AU18" s="84">
        <f t="shared" si="11"/>
        <v>41791</v>
      </c>
      <c r="AV18" s="84">
        <f t="shared" si="11"/>
        <v>41821</v>
      </c>
      <c r="AW18" s="84">
        <f t="shared" si="11"/>
        <v>41852</v>
      </c>
      <c r="AX18" s="84">
        <f t="shared" si="11"/>
        <v>41883</v>
      </c>
      <c r="AY18" s="84">
        <f t="shared" si="11"/>
        <v>41913</v>
      </c>
      <c r="AZ18" s="84">
        <f t="shared" si="11"/>
        <v>41944</v>
      </c>
      <c r="BA18" s="84">
        <f t="shared" si="11"/>
        <v>41974</v>
      </c>
      <c r="BB18" s="84">
        <f t="shared" si="11"/>
        <v>42005</v>
      </c>
      <c r="BC18" s="84">
        <f t="shared" si="11"/>
        <v>42036</v>
      </c>
      <c r="BD18" s="84">
        <f t="shared" si="11"/>
        <v>42064</v>
      </c>
      <c r="BE18" s="84">
        <f t="shared" si="11"/>
        <v>42095</v>
      </c>
      <c r="BF18" s="84">
        <f t="shared" si="11"/>
        <v>42125</v>
      </c>
      <c r="BG18" s="84">
        <f t="shared" si="11"/>
        <v>42156</v>
      </c>
      <c r="BH18" s="84">
        <f t="shared" si="11"/>
        <v>42186</v>
      </c>
      <c r="BI18" s="84">
        <f t="shared" si="11"/>
        <v>42217</v>
      </c>
      <c r="BJ18" s="84">
        <f t="shared" si="11"/>
        <v>42248</v>
      </c>
      <c r="BK18" s="84">
        <f t="shared" si="11"/>
        <v>42278</v>
      </c>
      <c r="BL18" s="84">
        <f t="shared" si="11"/>
        <v>42309</v>
      </c>
      <c r="BM18" s="84">
        <f t="shared" si="11"/>
        <v>42339</v>
      </c>
      <c r="BN18" s="84">
        <f t="shared" si="11"/>
        <v>42370</v>
      </c>
      <c r="BO18" s="84">
        <f t="shared" si="11"/>
        <v>42401</v>
      </c>
      <c r="BP18" s="84">
        <f t="shared" si="11"/>
        <v>42430</v>
      </c>
      <c r="BQ18" s="84">
        <f t="shared" si="11"/>
        <v>42461</v>
      </c>
      <c r="BR18" s="84">
        <f t="shared" ref="BR18:BY18" si="12" xml:space="preserve"> BR$15</f>
        <v>42491</v>
      </c>
      <c r="BS18" s="84">
        <f t="shared" si="12"/>
        <v>42522</v>
      </c>
      <c r="BT18" s="84">
        <f t="shared" si="12"/>
        <v>42552</v>
      </c>
      <c r="BU18" s="84">
        <f t="shared" si="12"/>
        <v>42583</v>
      </c>
      <c r="BV18" s="84">
        <f t="shared" si="12"/>
        <v>42614</v>
      </c>
      <c r="BW18" s="84">
        <f t="shared" si="12"/>
        <v>42644</v>
      </c>
      <c r="BX18" s="84">
        <f t="shared" si="12"/>
        <v>42675</v>
      </c>
      <c r="BY18" s="84">
        <f t="shared" si="12"/>
        <v>42705</v>
      </c>
    </row>
    <row r="19" spans="1:77" s="84" customFormat="1" x14ac:dyDescent="0.2">
      <c r="A19" s="16"/>
      <c r="B19" s="16"/>
      <c r="C19" s="28"/>
      <c r="D19" s="83"/>
      <c r="E19" s="84" t="s">
        <v>79</v>
      </c>
      <c r="G19" s="84" t="s">
        <v>17</v>
      </c>
      <c r="J19" s="84">
        <f xml:space="preserve"> DATE(YEAR(J18), MONTH(J18) + $F17, DAY(J18) -1)</f>
        <v>40694</v>
      </c>
      <c r="K19" s="84">
        <f t="shared" ref="K19:BV19" si="13" xml:space="preserve"> DATE(YEAR(K18), MONTH(K18) + $F17, DAY(K18) -1)</f>
        <v>40724</v>
      </c>
      <c r="L19" s="84">
        <f t="shared" si="13"/>
        <v>40755</v>
      </c>
      <c r="M19" s="84">
        <f t="shared" si="13"/>
        <v>40786</v>
      </c>
      <c r="N19" s="84">
        <f t="shared" si="13"/>
        <v>40816</v>
      </c>
      <c r="O19" s="84">
        <f t="shared" si="13"/>
        <v>40847</v>
      </c>
      <c r="P19" s="84">
        <f t="shared" si="13"/>
        <v>40877</v>
      </c>
      <c r="Q19" s="84">
        <f t="shared" si="13"/>
        <v>40908</v>
      </c>
      <c r="R19" s="84">
        <f t="shared" si="13"/>
        <v>40939</v>
      </c>
      <c r="S19" s="84">
        <f t="shared" si="13"/>
        <v>40968</v>
      </c>
      <c r="T19" s="84">
        <f t="shared" si="13"/>
        <v>40999</v>
      </c>
      <c r="U19" s="84">
        <f t="shared" si="13"/>
        <v>41029</v>
      </c>
      <c r="V19" s="84">
        <f t="shared" si="13"/>
        <v>41060</v>
      </c>
      <c r="W19" s="84">
        <f t="shared" si="13"/>
        <v>41090</v>
      </c>
      <c r="X19" s="84">
        <f t="shared" si="13"/>
        <v>41121</v>
      </c>
      <c r="Y19" s="84">
        <f t="shared" si="13"/>
        <v>41152</v>
      </c>
      <c r="Z19" s="84">
        <f t="shared" si="13"/>
        <v>41182</v>
      </c>
      <c r="AA19" s="84">
        <f t="shared" si="13"/>
        <v>41213</v>
      </c>
      <c r="AB19" s="84">
        <f t="shared" si="13"/>
        <v>41243</v>
      </c>
      <c r="AC19" s="84">
        <f t="shared" si="13"/>
        <v>41274</v>
      </c>
      <c r="AD19" s="84">
        <f t="shared" si="13"/>
        <v>41305</v>
      </c>
      <c r="AE19" s="84">
        <f t="shared" si="13"/>
        <v>41333</v>
      </c>
      <c r="AF19" s="84">
        <f t="shared" si="13"/>
        <v>41364</v>
      </c>
      <c r="AG19" s="84">
        <f t="shared" si="13"/>
        <v>41394</v>
      </c>
      <c r="AH19" s="84">
        <f t="shared" si="13"/>
        <v>41425</v>
      </c>
      <c r="AI19" s="84">
        <f t="shared" si="13"/>
        <v>41455</v>
      </c>
      <c r="AJ19" s="84">
        <f t="shared" si="13"/>
        <v>41486</v>
      </c>
      <c r="AK19" s="84">
        <f t="shared" si="13"/>
        <v>41517</v>
      </c>
      <c r="AL19" s="84">
        <f t="shared" si="13"/>
        <v>41547</v>
      </c>
      <c r="AM19" s="84">
        <f t="shared" si="13"/>
        <v>41578</v>
      </c>
      <c r="AN19" s="84">
        <f t="shared" si="13"/>
        <v>41608</v>
      </c>
      <c r="AO19" s="84">
        <f t="shared" si="13"/>
        <v>41639</v>
      </c>
      <c r="AP19" s="84">
        <f t="shared" si="13"/>
        <v>41670</v>
      </c>
      <c r="AQ19" s="84">
        <f t="shared" si="13"/>
        <v>41698</v>
      </c>
      <c r="AR19" s="84">
        <f t="shared" si="13"/>
        <v>41729</v>
      </c>
      <c r="AS19" s="84">
        <f t="shared" si="13"/>
        <v>41759</v>
      </c>
      <c r="AT19" s="84">
        <f t="shared" si="13"/>
        <v>41790</v>
      </c>
      <c r="AU19" s="84">
        <f t="shared" si="13"/>
        <v>41820</v>
      </c>
      <c r="AV19" s="84">
        <f t="shared" si="13"/>
        <v>41851</v>
      </c>
      <c r="AW19" s="84">
        <f t="shared" si="13"/>
        <v>41882</v>
      </c>
      <c r="AX19" s="84">
        <f t="shared" si="13"/>
        <v>41912</v>
      </c>
      <c r="AY19" s="84">
        <f t="shared" si="13"/>
        <v>41943</v>
      </c>
      <c r="AZ19" s="84">
        <f t="shared" si="13"/>
        <v>41973</v>
      </c>
      <c r="BA19" s="84">
        <f t="shared" si="13"/>
        <v>42004</v>
      </c>
      <c r="BB19" s="84">
        <f t="shared" si="13"/>
        <v>42035</v>
      </c>
      <c r="BC19" s="84">
        <f t="shared" si="13"/>
        <v>42063</v>
      </c>
      <c r="BD19" s="84">
        <f t="shared" si="13"/>
        <v>42094</v>
      </c>
      <c r="BE19" s="84">
        <f t="shared" si="13"/>
        <v>42124</v>
      </c>
      <c r="BF19" s="84">
        <f t="shared" si="13"/>
        <v>42155</v>
      </c>
      <c r="BG19" s="84">
        <f t="shared" si="13"/>
        <v>42185</v>
      </c>
      <c r="BH19" s="84">
        <f t="shared" si="13"/>
        <v>42216</v>
      </c>
      <c r="BI19" s="84">
        <f t="shared" si="13"/>
        <v>42247</v>
      </c>
      <c r="BJ19" s="84">
        <f t="shared" si="13"/>
        <v>42277</v>
      </c>
      <c r="BK19" s="84">
        <f t="shared" si="13"/>
        <v>42308</v>
      </c>
      <c r="BL19" s="84">
        <f t="shared" si="13"/>
        <v>42338</v>
      </c>
      <c r="BM19" s="84">
        <f t="shared" si="13"/>
        <v>42369</v>
      </c>
      <c r="BN19" s="84">
        <f t="shared" si="13"/>
        <v>42400</v>
      </c>
      <c r="BO19" s="84">
        <f t="shared" si="13"/>
        <v>42429</v>
      </c>
      <c r="BP19" s="84">
        <f t="shared" si="13"/>
        <v>42460</v>
      </c>
      <c r="BQ19" s="84">
        <f t="shared" si="13"/>
        <v>42490</v>
      </c>
      <c r="BR19" s="84">
        <f t="shared" si="13"/>
        <v>42521</v>
      </c>
      <c r="BS19" s="84">
        <f t="shared" si="13"/>
        <v>42551</v>
      </c>
      <c r="BT19" s="84">
        <f t="shared" si="13"/>
        <v>42582</v>
      </c>
      <c r="BU19" s="84">
        <f t="shared" si="13"/>
        <v>42613</v>
      </c>
      <c r="BV19" s="84">
        <f t="shared" si="13"/>
        <v>42643</v>
      </c>
      <c r="BW19" s="84">
        <f xml:space="preserve"> DATE(YEAR(BW18), MONTH(BW18) + $F17, DAY(BW18) -1)</f>
        <v>42674</v>
      </c>
      <c r="BX19" s="84">
        <f xml:space="preserve"> DATE(YEAR(BX18), MONTH(BX18) + $F17, DAY(BX18) -1)</f>
        <v>42704</v>
      </c>
      <c r="BY19" s="84">
        <f xml:space="preserve"> DATE(YEAR(BY18), MONTH(BY18) + $F17, DAY(BY18) -1)</f>
        <v>42735</v>
      </c>
    </row>
    <row r="20" spans="1:77" s="148" customFormat="1" x14ac:dyDescent="0.2">
      <c r="A20" s="144"/>
      <c r="B20" s="144"/>
      <c r="C20" s="147"/>
    </row>
    <row r="21" spans="1:77" s="123" customFormat="1" x14ac:dyDescent="0.2">
      <c r="E21" s="123" t="str">
        <f xml:space="preserve"> InpC!E$16</f>
        <v>First modelling column financial year number</v>
      </c>
      <c r="F21" s="123">
        <f xml:space="preserve"> InpC!F$16</f>
        <v>2011</v>
      </c>
      <c r="G21" s="123" t="str">
        <f xml:space="preserve"> InpC!G$16</f>
        <v>year #</v>
      </c>
    </row>
    <row r="22" spans="1:77" s="122" customFormat="1" x14ac:dyDescent="0.2">
      <c r="A22" s="119"/>
      <c r="B22" s="120"/>
      <c r="C22" s="121"/>
      <c r="E22" s="122" t="str">
        <f xml:space="preserve"> InpC!E$17</f>
        <v>Financial year end month number</v>
      </c>
      <c r="F22" s="122">
        <f xml:space="preserve"> InpC!F$17</f>
        <v>6</v>
      </c>
      <c r="G22" s="122" t="str">
        <f xml:space="preserve"> InpC!G$17</f>
        <v>month #</v>
      </c>
    </row>
    <row r="23" spans="1:77" s="17" customFormat="1" x14ac:dyDescent="0.2">
      <c r="A23" s="16"/>
      <c r="B23" s="5"/>
      <c r="C23" s="77"/>
      <c r="D23" s="21"/>
      <c r="E23" s="17" t="str">
        <f xml:space="preserve"> E$19</f>
        <v xml:space="preserve">Model period ending </v>
      </c>
      <c r="F23" s="17">
        <f t="shared" ref="F23:BQ23" si="14" xml:space="preserve"> F$19</f>
        <v>0</v>
      </c>
      <c r="G23" s="17" t="str">
        <f t="shared" si="14"/>
        <v>date</v>
      </c>
      <c r="H23" s="17">
        <f t="shared" si="14"/>
        <v>0</v>
      </c>
      <c r="I23" s="17">
        <f t="shared" si="14"/>
        <v>0</v>
      </c>
      <c r="J23" s="17">
        <f t="shared" si="14"/>
        <v>40694</v>
      </c>
      <c r="K23" s="17">
        <f t="shared" si="14"/>
        <v>40724</v>
      </c>
      <c r="L23" s="17">
        <f t="shared" si="14"/>
        <v>40755</v>
      </c>
      <c r="M23" s="17">
        <f t="shared" si="14"/>
        <v>40786</v>
      </c>
      <c r="N23" s="17">
        <f t="shared" si="14"/>
        <v>40816</v>
      </c>
      <c r="O23" s="17">
        <f t="shared" si="14"/>
        <v>40847</v>
      </c>
      <c r="P23" s="17">
        <f t="shared" si="14"/>
        <v>40877</v>
      </c>
      <c r="Q23" s="17">
        <f t="shared" si="14"/>
        <v>40908</v>
      </c>
      <c r="R23" s="17">
        <f t="shared" si="14"/>
        <v>40939</v>
      </c>
      <c r="S23" s="17">
        <f t="shared" si="14"/>
        <v>40968</v>
      </c>
      <c r="T23" s="17">
        <f t="shared" si="14"/>
        <v>40999</v>
      </c>
      <c r="U23" s="17">
        <f t="shared" si="14"/>
        <v>41029</v>
      </c>
      <c r="V23" s="17">
        <f t="shared" si="14"/>
        <v>41060</v>
      </c>
      <c r="W23" s="17">
        <f t="shared" si="14"/>
        <v>41090</v>
      </c>
      <c r="X23" s="17">
        <f t="shared" si="14"/>
        <v>41121</v>
      </c>
      <c r="Y23" s="17">
        <f t="shared" si="14"/>
        <v>41152</v>
      </c>
      <c r="Z23" s="17">
        <f t="shared" si="14"/>
        <v>41182</v>
      </c>
      <c r="AA23" s="17">
        <f t="shared" si="14"/>
        <v>41213</v>
      </c>
      <c r="AB23" s="17">
        <f t="shared" si="14"/>
        <v>41243</v>
      </c>
      <c r="AC23" s="17">
        <f t="shared" si="14"/>
        <v>41274</v>
      </c>
      <c r="AD23" s="17">
        <f t="shared" si="14"/>
        <v>41305</v>
      </c>
      <c r="AE23" s="17">
        <f t="shared" si="14"/>
        <v>41333</v>
      </c>
      <c r="AF23" s="17">
        <f t="shared" si="14"/>
        <v>41364</v>
      </c>
      <c r="AG23" s="17">
        <f t="shared" si="14"/>
        <v>41394</v>
      </c>
      <c r="AH23" s="17">
        <f t="shared" si="14"/>
        <v>41425</v>
      </c>
      <c r="AI23" s="17">
        <f t="shared" si="14"/>
        <v>41455</v>
      </c>
      <c r="AJ23" s="17">
        <f t="shared" si="14"/>
        <v>41486</v>
      </c>
      <c r="AK23" s="17">
        <f t="shared" si="14"/>
        <v>41517</v>
      </c>
      <c r="AL23" s="17">
        <f t="shared" si="14"/>
        <v>41547</v>
      </c>
      <c r="AM23" s="17">
        <f t="shared" si="14"/>
        <v>41578</v>
      </c>
      <c r="AN23" s="17">
        <f t="shared" si="14"/>
        <v>41608</v>
      </c>
      <c r="AO23" s="17">
        <f t="shared" si="14"/>
        <v>41639</v>
      </c>
      <c r="AP23" s="17">
        <f t="shared" si="14"/>
        <v>41670</v>
      </c>
      <c r="AQ23" s="17">
        <f t="shared" si="14"/>
        <v>41698</v>
      </c>
      <c r="AR23" s="17">
        <f t="shared" si="14"/>
        <v>41729</v>
      </c>
      <c r="AS23" s="17">
        <f t="shared" si="14"/>
        <v>41759</v>
      </c>
      <c r="AT23" s="17">
        <f t="shared" si="14"/>
        <v>41790</v>
      </c>
      <c r="AU23" s="17">
        <f t="shared" si="14"/>
        <v>41820</v>
      </c>
      <c r="AV23" s="17">
        <f t="shared" si="14"/>
        <v>41851</v>
      </c>
      <c r="AW23" s="17">
        <f t="shared" si="14"/>
        <v>41882</v>
      </c>
      <c r="AX23" s="17">
        <f t="shared" si="14"/>
        <v>41912</v>
      </c>
      <c r="AY23" s="17">
        <f t="shared" si="14"/>
        <v>41943</v>
      </c>
      <c r="AZ23" s="17">
        <f t="shared" si="14"/>
        <v>41973</v>
      </c>
      <c r="BA23" s="17">
        <f t="shared" si="14"/>
        <v>42004</v>
      </c>
      <c r="BB23" s="17">
        <f t="shared" si="14"/>
        <v>42035</v>
      </c>
      <c r="BC23" s="17">
        <f t="shared" si="14"/>
        <v>42063</v>
      </c>
      <c r="BD23" s="17">
        <f t="shared" si="14"/>
        <v>42094</v>
      </c>
      <c r="BE23" s="17">
        <f t="shared" si="14"/>
        <v>42124</v>
      </c>
      <c r="BF23" s="17">
        <f t="shared" si="14"/>
        <v>42155</v>
      </c>
      <c r="BG23" s="17">
        <f t="shared" si="14"/>
        <v>42185</v>
      </c>
      <c r="BH23" s="17">
        <f t="shared" si="14"/>
        <v>42216</v>
      </c>
      <c r="BI23" s="17">
        <f t="shared" si="14"/>
        <v>42247</v>
      </c>
      <c r="BJ23" s="17">
        <f t="shared" si="14"/>
        <v>42277</v>
      </c>
      <c r="BK23" s="17">
        <f t="shared" si="14"/>
        <v>42308</v>
      </c>
      <c r="BL23" s="17">
        <f t="shared" si="14"/>
        <v>42338</v>
      </c>
      <c r="BM23" s="17">
        <f t="shared" si="14"/>
        <v>42369</v>
      </c>
      <c r="BN23" s="17">
        <f t="shared" si="14"/>
        <v>42400</v>
      </c>
      <c r="BO23" s="17">
        <f t="shared" si="14"/>
        <v>42429</v>
      </c>
      <c r="BP23" s="17">
        <f t="shared" si="14"/>
        <v>42460</v>
      </c>
      <c r="BQ23" s="17">
        <f t="shared" si="14"/>
        <v>42490</v>
      </c>
      <c r="BR23" s="17">
        <f t="shared" ref="BR23:BY23" si="15" xml:space="preserve"> BR$19</f>
        <v>42521</v>
      </c>
      <c r="BS23" s="17">
        <f t="shared" si="15"/>
        <v>42551</v>
      </c>
      <c r="BT23" s="17">
        <f t="shared" si="15"/>
        <v>42582</v>
      </c>
      <c r="BU23" s="17">
        <f t="shared" si="15"/>
        <v>42613</v>
      </c>
      <c r="BV23" s="17">
        <f t="shared" si="15"/>
        <v>42643</v>
      </c>
      <c r="BW23" s="17">
        <f t="shared" si="15"/>
        <v>42674</v>
      </c>
      <c r="BX23" s="17">
        <f t="shared" si="15"/>
        <v>42704</v>
      </c>
      <c r="BY23" s="17">
        <f t="shared" si="15"/>
        <v>42735</v>
      </c>
    </row>
    <row r="24" spans="1:77" s="79" customFormat="1" x14ac:dyDescent="0.2">
      <c r="A24" s="74"/>
      <c r="B24" s="5"/>
      <c r="C24" s="78"/>
      <c r="E24" s="79" t="str">
        <f xml:space="preserve"> E$10</f>
        <v>First model column flag</v>
      </c>
      <c r="F24" s="79">
        <f t="shared" ref="F24:BQ24" si="16" xml:space="preserve"> F$10</f>
        <v>0</v>
      </c>
      <c r="G24" s="79" t="str">
        <f t="shared" si="16"/>
        <v>flag</v>
      </c>
      <c r="H24" s="79">
        <f t="shared" si="16"/>
        <v>1</v>
      </c>
      <c r="I24" s="79">
        <f t="shared" si="16"/>
        <v>0</v>
      </c>
      <c r="J24" s="79">
        <f t="shared" si="16"/>
        <v>1</v>
      </c>
      <c r="K24" s="79">
        <f t="shared" si="16"/>
        <v>0</v>
      </c>
      <c r="L24" s="79">
        <f t="shared" si="16"/>
        <v>0</v>
      </c>
      <c r="M24" s="79">
        <f t="shared" si="16"/>
        <v>0</v>
      </c>
      <c r="N24" s="79">
        <f t="shared" si="16"/>
        <v>0</v>
      </c>
      <c r="O24" s="79">
        <f t="shared" si="16"/>
        <v>0</v>
      </c>
      <c r="P24" s="79">
        <f t="shared" si="16"/>
        <v>0</v>
      </c>
      <c r="Q24" s="79">
        <f t="shared" si="16"/>
        <v>0</v>
      </c>
      <c r="R24" s="79">
        <f t="shared" si="16"/>
        <v>0</v>
      </c>
      <c r="S24" s="79">
        <f t="shared" si="16"/>
        <v>0</v>
      </c>
      <c r="T24" s="79">
        <f t="shared" si="16"/>
        <v>0</v>
      </c>
      <c r="U24" s="79">
        <f t="shared" si="16"/>
        <v>0</v>
      </c>
      <c r="V24" s="79">
        <f t="shared" si="16"/>
        <v>0</v>
      </c>
      <c r="W24" s="79">
        <f t="shared" si="16"/>
        <v>0</v>
      </c>
      <c r="X24" s="79">
        <f t="shared" si="16"/>
        <v>0</v>
      </c>
      <c r="Y24" s="79">
        <f t="shared" si="16"/>
        <v>0</v>
      </c>
      <c r="Z24" s="79">
        <f t="shared" si="16"/>
        <v>0</v>
      </c>
      <c r="AA24" s="79">
        <f t="shared" si="16"/>
        <v>0</v>
      </c>
      <c r="AB24" s="79">
        <f t="shared" si="16"/>
        <v>0</v>
      </c>
      <c r="AC24" s="79">
        <f t="shared" si="16"/>
        <v>0</v>
      </c>
      <c r="AD24" s="79">
        <f t="shared" si="16"/>
        <v>0</v>
      </c>
      <c r="AE24" s="79">
        <f t="shared" si="16"/>
        <v>0</v>
      </c>
      <c r="AF24" s="79">
        <f t="shared" si="16"/>
        <v>0</v>
      </c>
      <c r="AG24" s="79">
        <f t="shared" si="16"/>
        <v>0</v>
      </c>
      <c r="AH24" s="79">
        <f t="shared" si="16"/>
        <v>0</v>
      </c>
      <c r="AI24" s="79">
        <f t="shared" si="16"/>
        <v>0</v>
      </c>
      <c r="AJ24" s="79">
        <f t="shared" si="16"/>
        <v>0</v>
      </c>
      <c r="AK24" s="79">
        <f t="shared" si="16"/>
        <v>0</v>
      </c>
      <c r="AL24" s="79">
        <f t="shared" si="16"/>
        <v>0</v>
      </c>
      <c r="AM24" s="79">
        <f t="shared" si="16"/>
        <v>0</v>
      </c>
      <c r="AN24" s="79">
        <f t="shared" si="16"/>
        <v>0</v>
      </c>
      <c r="AO24" s="79">
        <f t="shared" si="16"/>
        <v>0</v>
      </c>
      <c r="AP24" s="79">
        <f t="shared" si="16"/>
        <v>0</v>
      </c>
      <c r="AQ24" s="79">
        <f t="shared" si="16"/>
        <v>0</v>
      </c>
      <c r="AR24" s="79">
        <f t="shared" si="16"/>
        <v>0</v>
      </c>
      <c r="AS24" s="79">
        <f t="shared" si="16"/>
        <v>0</v>
      </c>
      <c r="AT24" s="79">
        <f t="shared" si="16"/>
        <v>0</v>
      </c>
      <c r="AU24" s="79">
        <f t="shared" si="16"/>
        <v>0</v>
      </c>
      <c r="AV24" s="79">
        <f t="shared" si="16"/>
        <v>0</v>
      </c>
      <c r="AW24" s="79">
        <f t="shared" si="16"/>
        <v>0</v>
      </c>
      <c r="AX24" s="79">
        <f t="shared" si="16"/>
        <v>0</v>
      </c>
      <c r="AY24" s="79">
        <f t="shared" si="16"/>
        <v>0</v>
      </c>
      <c r="AZ24" s="79">
        <f t="shared" si="16"/>
        <v>0</v>
      </c>
      <c r="BA24" s="79">
        <f t="shared" si="16"/>
        <v>0</v>
      </c>
      <c r="BB24" s="79">
        <f t="shared" si="16"/>
        <v>0</v>
      </c>
      <c r="BC24" s="79">
        <f t="shared" si="16"/>
        <v>0</v>
      </c>
      <c r="BD24" s="79">
        <f t="shared" si="16"/>
        <v>0</v>
      </c>
      <c r="BE24" s="79">
        <f t="shared" si="16"/>
        <v>0</v>
      </c>
      <c r="BF24" s="79">
        <f t="shared" si="16"/>
        <v>0</v>
      </c>
      <c r="BG24" s="79">
        <f t="shared" si="16"/>
        <v>0</v>
      </c>
      <c r="BH24" s="79">
        <f t="shared" si="16"/>
        <v>0</v>
      </c>
      <c r="BI24" s="79">
        <f t="shared" si="16"/>
        <v>0</v>
      </c>
      <c r="BJ24" s="79">
        <f t="shared" si="16"/>
        <v>0</v>
      </c>
      <c r="BK24" s="79">
        <f t="shared" si="16"/>
        <v>0</v>
      </c>
      <c r="BL24" s="79">
        <f t="shared" si="16"/>
        <v>0</v>
      </c>
      <c r="BM24" s="79">
        <f t="shared" si="16"/>
        <v>0</v>
      </c>
      <c r="BN24" s="79">
        <f t="shared" si="16"/>
        <v>0</v>
      </c>
      <c r="BO24" s="79">
        <f t="shared" si="16"/>
        <v>0</v>
      </c>
      <c r="BP24" s="79">
        <f t="shared" si="16"/>
        <v>0</v>
      </c>
      <c r="BQ24" s="79">
        <f t="shared" si="16"/>
        <v>0</v>
      </c>
      <c r="BR24" s="79">
        <f t="shared" ref="BR24:BY24" si="17" xml:space="preserve"> BR$10</f>
        <v>0</v>
      </c>
      <c r="BS24" s="79">
        <f t="shared" si="17"/>
        <v>0</v>
      </c>
      <c r="BT24" s="79">
        <f t="shared" si="17"/>
        <v>0</v>
      </c>
      <c r="BU24" s="79">
        <f t="shared" si="17"/>
        <v>0</v>
      </c>
      <c r="BV24" s="79">
        <f t="shared" si="17"/>
        <v>0</v>
      </c>
      <c r="BW24" s="79">
        <f t="shared" si="17"/>
        <v>0</v>
      </c>
      <c r="BX24" s="79">
        <f t="shared" si="17"/>
        <v>0</v>
      </c>
      <c r="BY24" s="79">
        <f t="shared" si="17"/>
        <v>0</v>
      </c>
    </row>
    <row r="25" spans="1:77" s="79" customFormat="1" x14ac:dyDescent="0.2">
      <c r="A25" s="74"/>
      <c r="B25" s="5"/>
      <c r="C25" s="78"/>
      <c r="E25" s="79" t="s">
        <v>69</v>
      </c>
      <c r="G25" s="79" t="s">
        <v>70</v>
      </c>
      <c r="I25" s="80"/>
      <c r="J25" s="73">
        <f t="shared" ref="J25:BU25" si="18" xml:space="preserve"> IF(J24 = 1, $F21, IF(J23 &gt; (DATE(I25, $F22 + 1, 1) - 1), I25 + 1, I25))</f>
        <v>2011</v>
      </c>
      <c r="K25" s="73">
        <f t="shared" si="18"/>
        <v>2011</v>
      </c>
      <c r="L25" s="73">
        <f t="shared" si="18"/>
        <v>2012</v>
      </c>
      <c r="M25" s="73">
        <f t="shared" si="18"/>
        <v>2012</v>
      </c>
      <c r="N25" s="73">
        <f t="shared" si="18"/>
        <v>2012</v>
      </c>
      <c r="O25" s="73">
        <f t="shared" si="18"/>
        <v>2012</v>
      </c>
      <c r="P25" s="73">
        <f t="shared" si="18"/>
        <v>2012</v>
      </c>
      <c r="Q25" s="73">
        <f t="shared" si="18"/>
        <v>2012</v>
      </c>
      <c r="R25" s="73">
        <f t="shared" si="18"/>
        <v>2012</v>
      </c>
      <c r="S25" s="73">
        <f t="shared" si="18"/>
        <v>2012</v>
      </c>
      <c r="T25" s="73">
        <f t="shared" si="18"/>
        <v>2012</v>
      </c>
      <c r="U25" s="73">
        <f t="shared" si="18"/>
        <v>2012</v>
      </c>
      <c r="V25" s="73">
        <f t="shared" si="18"/>
        <v>2012</v>
      </c>
      <c r="W25" s="73">
        <f t="shared" si="18"/>
        <v>2012</v>
      </c>
      <c r="X25" s="73">
        <f t="shared" si="18"/>
        <v>2013</v>
      </c>
      <c r="Y25" s="73">
        <f t="shared" si="18"/>
        <v>2013</v>
      </c>
      <c r="Z25" s="73">
        <f t="shared" si="18"/>
        <v>2013</v>
      </c>
      <c r="AA25" s="73">
        <f t="shared" si="18"/>
        <v>2013</v>
      </c>
      <c r="AB25" s="73">
        <f t="shared" si="18"/>
        <v>2013</v>
      </c>
      <c r="AC25" s="73">
        <f t="shared" si="18"/>
        <v>2013</v>
      </c>
      <c r="AD25" s="73">
        <f t="shared" si="18"/>
        <v>2013</v>
      </c>
      <c r="AE25" s="73">
        <f t="shared" si="18"/>
        <v>2013</v>
      </c>
      <c r="AF25" s="73">
        <f t="shared" si="18"/>
        <v>2013</v>
      </c>
      <c r="AG25" s="73">
        <f t="shared" si="18"/>
        <v>2013</v>
      </c>
      <c r="AH25" s="73">
        <f t="shared" si="18"/>
        <v>2013</v>
      </c>
      <c r="AI25" s="73">
        <f t="shared" si="18"/>
        <v>2013</v>
      </c>
      <c r="AJ25" s="73">
        <f t="shared" si="18"/>
        <v>2014</v>
      </c>
      <c r="AK25" s="73">
        <f t="shared" si="18"/>
        <v>2014</v>
      </c>
      <c r="AL25" s="73">
        <f t="shared" si="18"/>
        <v>2014</v>
      </c>
      <c r="AM25" s="73">
        <f t="shared" si="18"/>
        <v>2014</v>
      </c>
      <c r="AN25" s="73">
        <f t="shared" si="18"/>
        <v>2014</v>
      </c>
      <c r="AO25" s="73">
        <f t="shared" si="18"/>
        <v>2014</v>
      </c>
      <c r="AP25" s="73">
        <f t="shared" si="18"/>
        <v>2014</v>
      </c>
      <c r="AQ25" s="73">
        <f t="shared" si="18"/>
        <v>2014</v>
      </c>
      <c r="AR25" s="73">
        <f t="shared" si="18"/>
        <v>2014</v>
      </c>
      <c r="AS25" s="73">
        <f t="shared" si="18"/>
        <v>2014</v>
      </c>
      <c r="AT25" s="73">
        <f t="shared" si="18"/>
        <v>2014</v>
      </c>
      <c r="AU25" s="73">
        <f t="shared" si="18"/>
        <v>2014</v>
      </c>
      <c r="AV25" s="73">
        <f t="shared" si="18"/>
        <v>2015</v>
      </c>
      <c r="AW25" s="73">
        <f t="shared" si="18"/>
        <v>2015</v>
      </c>
      <c r="AX25" s="73">
        <f t="shared" si="18"/>
        <v>2015</v>
      </c>
      <c r="AY25" s="73">
        <f t="shared" si="18"/>
        <v>2015</v>
      </c>
      <c r="AZ25" s="73">
        <f t="shared" si="18"/>
        <v>2015</v>
      </c>
      <c r="BA25" s="73">
        <f t="shared" si="18"/>
        <v>2015</v>
      </c>
      <c r="BB25" s="73">
        <f t="shared" si="18"/>
        <v>2015</v>
      </c>
      <c r="BC25" s="73">
        <f t="shared" si="18"/>
        <v>2015</v>
      </c>
      <c r="BD25" s="73">
        <f t="shared" si="18"/>
        <v>2015</v>
      </c>
      <c r="BE25" s="73">
        <f t="shared" si="18"/>
        <v>2015</v>
      </c>
      <c r="BF25" s="73">
        <f t="shared" si="18"/>
        <v>2015</v>
      </c>
      <c r="BG25" s="73">
        <f t="shared" si="18"/>
        <v>2015</v>
      </c>
      <c r="BH25" s="73">
        <f t="shared" si="18"/>
        <v>2016</v>
      </c>
      <c r="BI25" s="73">
        <f t="shared" si="18"/>
        <v>2016</v>
      </c>
      <c r="BJ25" s="73">
        <f t="shared" si="18"/>
        <v>2016</v>
      </c>
      <c r="BK25" s="73">
        <f t="shared" si="18"/>
        <v>2016</v>
      </c>
      <c r="BL25" s="73">
        <f t="shared" si="18"/>
        <v>2016</v>
      </c>
      <c r="BM25" s="73">
        <f t="shared" si="18"/>
        <v>2016</v>
      </c>
      <c r="BN25" s="73">
        <f t="shared" si="18"/>
        <v>2016</v>
      </c>
      <c r="BO25" s="73">
        <f t="shared" si="18"/>
        <v>2016</v>
      </c>
      <c r="BP25" s="73">
        <f t="shared" si="18"/>
        <v>2016</v>
      </c>
      <c r="BQ25" s="73">
        <f t="shared" si="18"/>
        <v>2016</v>
      </c>
      <c r="BR25" s="73">
        <f t="shared" si="18"/>
        <v>2016</v>
      </c>
      <c r="BS25" s="73">
        <f t="shared" si="18"/>
        <v>2016</v>
      </c>
      <c r="BT25" s="73">
        <f t="shared" si="18"/>
        <v>2017</v>
      </c>
      <c r="BU25" s="73">
        <f t="shared" si="18"/>
        <v>2017</v>
      </c>
      <c r="BV25" s="73">
        <f xml:space="preserve"> IF(BV24 = 1, $F21, IF(BV23 &gt; (DATE(BU25, $F22 + 1, 1) - 1), BU25 + 1, BU25))</f>
        <v>2017</v>
      </c>
      <c r="BW25" s="73">
        <f xml:space="preserve"> IF(BW24 = 1, $F21, IF(BW23 &gt; (DATE(BV25, $F22 + 1, 1) - 1), BV25 + 1, BV25))</f>
        <v>2017</v>
      </c>
      <c r="BX25" s="73">
        <f xml:space="preserve"> IF(BX24 = 1, $F21, IF(BX23 &gt; (DATE(BW25, $F22 + 1, 1) - 1), BW25 + 1, BW25))</f>
        <v>2017</v>
      </c>
      <c r="BY25" s="73">
        <f xml:space="preserve"> IF(BY24 = 1, $F21, IF(BY23 &gt; (DATE(BX25, $F22 + 1, 1) - 1), BX25 + 1, BX25))</f>
        <v>2017</v>
      </c>
    </row>
    <row r="26" spans="1:77" s="79" customFormat="1" x14ac:dyDescent="0.2">
      <c r="A26" s="74"/>
      <c r="B26" s="5"/>
      <c r="C26" s="78"/>
      <c r="I26" s="81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</row>
    <row r="27" spans="1:77" s="79" customFormat="1" x14ac:dyDescent="0.2">
      <c r="A27" s="74"/>
      <c r="B27" s="5"/>
      <c r="C27" s="78"/>
      <c r="I27" s="81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</row>
    <row r="28" spans="1:77" s="148" customFormat="1" x14ac:dyDescent="0.2">
      <c r="A28" s="144" t="s">
        <v>11</v>
      </c>
      <c r="B28" s="144"/>
      <c r="C28" s="147"/>
    </row>
    <row r="29" spans="1:77" s="148" customFormat="1" x14ac:dyDescent="0.2">
      <c r="A29" s="144"/>
      <c r="B29" s="144"/>
      <c r="C29" s="147"/>
    </row>
    <row r="30" spans="1:77" s="148" customFormat="1" x14ac:dyDescent="0.2">
      <c r="A30" s="144"/>
      <c r="B30" s="144" t="s">
        <v>4</v>
      </c>
      <c r="C30" s="147"/>
    </row>
    <row r="31" spans="1:77" s="127" customFormat="1" x14ac:dyDescent="0.2">
      <c r="A31" s="124"/>
      <c r="B31" s="124"/>
      <c r="C31" s="125"/>
      <c r="D31" s="126"/>
      <c r="E31" s="127" t="str">
        <f>InpC!E$13</f>
        <v>Opening balance sheet date</v>
      </c>
      <c r="F31" s="128">
        <f>InpC!F$13</f>
        <v>40694</v>
      </c>
      <c r="G31" s="127" t="str">
        <f>InpC!G$13</f>
        <v>date</v>
      </c>
    </row>
    <row r="32" spans="1:77" s="18" customFormat="1" x14ac:dyDescent="0.2">
      <c r="A32" s="16"/>
      <c r="B32" s="16"/>
      <c r="C32" s="28"/>
      <c r="D32" s="65"/>
      <c r="E32" s="18" t="str">
        <f xml:space="preserve"> E$19</f>
        <v xml:space="preserve">Model period ending </v>
      </c>
      <c r="F32" s="18">
        <f t="shared" ref="F32:BQ32" si="19" xml:space="preserve"> F$19</f>
        <v>0</v>
      </c>
      <c r="G32" s="18" t="str">
        <f t="shared" si="19"/>
        <v>date</v>
      </c>
      <c r="H32" s="18">
        <f t="shared" si="19"/>
        <v>0</v>
      </c>
      <c r="I32" s="18">
        <f t="shared" si="19"/>
        <v>0</v>
      </c>
      <c r="J32" s="18">
        <f t="shared" si="19"/>
        <v>40694</v>
      </c>
      <c r="K32" s="18">
        <f t="shared" si="19"/>
        <v>40724</v>
      </c>
      <c r="L32" s="18">
        <f t="shared" si="19"/>
        <v>40755</v>
      </c>
      <c r="M32" s="18">
        <f t="shared" si="19"/>
        <v>40786</v>
      </c>
      <c r="N32" s="18">
        <f t="shared" si="19"/>
        <v>40816</v>
      </c>
      <c r="O32" s="18">
        <f t="shared" si="19"/>
        <v>40847</v>
      </c>
      <c r="P32" s="18">
        <f t="shared" si="19"/>
        <v>40877</v>
      </c>
      <c r="Q32" s="18">
        <f t="shared" si="19"/>
        <v>40908</v>
      </c>
      <c r="R32" s="18">
        <f t="shared" si="19"/>
        <v>40939</v>
      </c>
      <c r="S32" s="18">
        <f t="shared" si="19"/>
        <v>40968</v>
      </c>
      <c r="T32" s="18">
        <f t="shared" si="19"/>
        <v>40999</v>
      </c>
      <c r="U32" s="18">
        <f t="shared" si="19"/>
        <v>41029</v>
      </c>
      <c r="V32" s="18">
        <f t="shared" si="19"/>
        <v>41060</v>
      </c>
      <c r="W32" s="18">
        <f t="shared" si="19"/>
        <v>41090</v>
      </c>
      <c r="X32" s="18">
        <f t="shared" si="19"/>
        <v>41121</v>
      </c>
      <c r="Y32" s="18">
        <f t="shared" si="19"/>
        <v>41152</v>
      </c>
      <c r="Z32" s="18">
        <f t="shared" si="19"/>
        <v>41182</v>
      </c>
      <c r="AA32" s="18">
        <f t="shared" si="19"/>
        <v>41213</v>
      </c>
      <c r="AB32" s="18">
        <f t="shared" si="19"/>
        <v>41243</v>
      </c>
      <c r="AC32" s="18">
        <f t="shared" si="19"/>
        <v>41274</v>
      </c>
      <c r="AD32" s="18">
        <f t="shared" si="19"/>
        <v>41305</v>
      </c>
      <c r="AE32" s="18">
        <f t="shared" si="19"/>
        <v>41333</v>
      </c>
      <c r="AF32" s="18">
        <f t="shared" si="19"/>
        <v>41364</v>
      </c>
      <c r="AG32" s="18">
        <f t="shared" si="19"/>
        <v>41394</v>
      </c>
      <c r="AH32" s="18">
        <f t="shared" si="19"/>
        <v>41425</v>
      </c>
      <c r="AI32" s="18">
        <f t="shared" si="19"/>
        <v>41455</v>
      </c>
      <c r="AJ32" s="18">
        <f t="shared" si="19"/>
        <v>41486</v>
      </c>
      <c r="AK32" s="18">
        <f t="shared" si="19"/>
        <v>41517</v>
      </c>
      <c r="AL32" s="18">
        <f t="shared" si="19"/>
        <v>41547</v>
      </c>
      <c r="AM32" s="18">
        <f t="shared" si="19"/>
        <v>41578</v>
      </c>
      <c r="AN32" s="18">
        <f t="shared" si="19"/>
        <v>41608</v>
      </c>
      <c r="AO32" s="18">
        <f t="shared" si="19"/>
        <v>41639</v>
      </c>
      <c r="AP32" s="18">
        <f t="shared" si="19"/>
        <v>41670</v>
      </c>
      <c r="AQ32" s="18">
        <f t="shared" si="19"/>
        <v>41698</v>
      </c>
      <c r="AR32" s="18">
        <f t="shared" si="19"/>
        <v>41729</v>
      </c>
      <c r="AS32" s="18">
        <f t="shared" si="19"/>
        <v>41759</v>
      </c>
      <c r="AT32" s="18">
        <f t="shared" si="19"/>
        <v>41790</v>
      </c>
      <c r="AU32" s="18">
        <f t="shared" si="19"/>
        <v>41820</v>
      </c>
      <c r="AV32" s="18">
        <f t="shared" si="19"/>
        <v>41851</v>
      </c>
      <c r="AW32" s="18">
        <f t="shared" si="19"/>
        <v>41882</v>
      </c>
      <c r="AX32" s="18">
        <f t="shared" si="19"/>
        <v>41912</v>
      </c>
      <c r="AY32" s="18">
        <f t="shared" si="19"/>
        <v>41943</v>
      </c>
      <c r="AZ32" s="18">
        <f t="shared" si="19"/>
        <v>41973</v>
      </c>
      <c r="BA32" s="18">
        <f t="shared" si="19"/>
        <v>42004</v>
      </c>
      <c r="BB32" s="18">
        <f t="shared" si="19"/>
        <v>42035</v>
      </c>
      <c r="BC32" s="18">
        <f t="shared" si="19"/>
        <v>42063</v>
      </c>
      <c r="BD32" s="18">
        <f t="shared" si="19"/>
        <v>42094</v>
      </c>
      <c r="BE32" s="18">
        <f t="shared" si="19"/>
        <v>42124</v>
      </c>
      <c r="BF32" s="18">
        <f t="shared" si="19"/>
        <v>42155</v>
      </c>
      <c r="BG32" s="18">
        <f t="shared" si="19"/>
        <v>42185</v>
      </c>
      <c r="BH32" s="18">
        <f t="shared" si="19"/>
        <v>42216</v>
      </c>
      <c r="BI32" s="18">
        <f t="shared" si="19"/>
        <v>42247</v>
      </c>
      <c r="BJ32" s="18">
        <f t="shared" si="19"/>
        <v>42277</v>
      </c>
      <c r="BK32" s="18">
        <f t="shared" si="19"/>
        <v>42308</v>
      </c>
      <c r="BL32" s="18">
        <f t="shared" si="19"/>
        <v>42338</v>
      </c>
      <c r="BM32" s="18">
        <f t="shared" si="19"/>
        <v>42369</v>
      </c>
      <c r="BN32" s="18">
        <f t="shared" si="19"/>
        <v>42400</v>
      </c>
      <c r="BO32" s="18">
        <f t="shared" si="19"/>
        <v>42429</v>
      </c>
      <c r="BP32" s="18">
        <f t="shared" si="19"/>
        <v>42460</v>
      </c>
      <c r="BQ32" s="18">
        <f t="shared" si="19"/>
        <v>42490</v>
      </c>
      <c r="BR32" s="18">
        <f t="shared" ref="BR32:BY32" si="20" xml:space="preserve"> BR$19</f>
        <v>42521</v>
      </c>
      <c r="BS32" s="18">
        <f t="shared" si="20"/>
        <v>42551</v>
      </c>
      <c r="BT32" s="18">
        <f t="shared" si="20"/>
        <v>42582</v>
      </c>
      <c r="BU32" s="18">
        <f t="shared" si="20"/>
        <v>42613</v>
      </c>
      <c r="BV32" s="18">
        <f t="shared" si="20"/>
        <v>42643</v>
      </c>
      <c r="BW32" s="18">
        <f t="shared" si="20"/>
        <v>42674</v>
      </c>
      <c r="BX32" s="18">
        <f t="shared" si="20"/>
        <v>42704</v>
      </c>
      <c r="BY32" s="18">
        <f t="shared" si="20"/>
        <v>42735</v>
      </c>
    </row>
    <row r="33" spans="1:77" s="132" customFormat="1" x14ac:dyDescent="0.2">
      <c r="A33" s="129"/>
      <c r="B33" s="129"/>
      <c r="C33" s="130"/>
      <c r="D33" s="131"/>
      <c r="E33" s="132" t="s">
        <v>4</v>
      </c>
      <c r="G33" s="132" t="s">
        <v>16</v>
      </c>
      <c r="H33" s="132">
        <f>SUM(J33:BY33)</f>
        <v>1</v>
      </c>
      <c r="J33" s="132">
        <f t="shared" ref="J33:AO33" si="21" xml:space="preserve"> IF(J32 = $F31, 1, 0)</f>
        <v>1</v>
      </c>
      <c r="K33" s="132">
        <f t="shared" si="21"/>
        <v>0</v>
      </c>
      <c r="L33" s="132">
        <f t="shared" si="21"/>
        <v>0</v>
      </c>
      <c r="M33" s="132">
        <f t="shared" si="21"/>
        <v>0</v>
      </c>
      <c r="N33" s="132">
        <f t="shared" si="21"/>
        <v>0</v>
      </c>
      <c r="O33" s="132">
        <f t="shared" si="21"/>
        <v>0</v>
      </c>
      <c r="P33" s="132">
        <f t="shared" si="21"/>
        <v>0</v>
      </c>
      <c r="Q33" s="132">
        <f t="shared" si="21"/>
        <v>0</v>
      </c>
      <c r="R33" s="132">
        <f t="shared" si="21"/>
        <v>0</v>
      </c>
      <c r="S33" s="132">
        <f t="shared" si="21"/>
        <v>0</v>
      </c>
      <c r="T33" s="132">
        <f t="shared" si="21"/>
        <v>0</v>
      </c>
      <c r="U33" s="132">
        <f t="shared" si="21"/>
        <v>0</v>
      </c>
      <c r="V33" s="132">
        <f t="shared" si="21"/>
        <v>0</v>
      </c>
      <c r="W33" s="132">
        <f t="shared" si="21"/>
        <v>0</v>
      </c>
      <c r="X33" s="132">
        <f t="shared" si="21"/>
        <v>0</v>
      </c>
      <c r="Y33" s="132">
        <f t="shared" si="21"/>
        <v>0</v>
      </c>
      <c r="Z33" s="132">
        <f t="shared" si="21"/>
        <v>0</v>
      </c>
      <c r="AA33" s="132">
        <f t="shared" si="21"/>
        <v>0</v>
      </c>
      <c r="AB33" s="132">
        <f t="shared" si="21"/>
        <v>0</v>
      </c>
      <c r="AC33" s="132">
        <f t="shared" si="21"/>
        <v>0</v>
      </c>
      <c r="AD33" s="132">
        <f t="shared" si="21"/>
        <v>0</v>
      </c>
      <c r="AE33" s="132">
        <f t="shared" si="21"/>
        <v>0</v>
      </c>
      <c r="AF33" s="132">
        <f t="shared" si="21"/>
        <v>0</v>
      </c>
      <c r="AG33" s="132">
        <f t="shared" si="21"/>
        <v>0</v>
      </c>
      <c r="AH33" s="132">
        <f t="shared" si="21"/>
        <v>0</v>
      </c>
      <c r="AI33" s="132">
        <f t="shared" si="21"/>
        <v>0</v>
      </c>
      <c r="AJ33" s="132">
        <f t="shared" si="21"/>
        <v>0</v>
      </c>
      <c r="AK33" s="132">
        <f t="shared" si="21"/>
        <v>0</v>
      </c>
      <c r="AL33" s="132">
        <f t="shared" si="21"/>
        <v>0</v>
      </c>
      <c r="AM33" s="132">
        <f t="shared" si="21"/>
        <v>0</v>
      </c>
      <c r="AN33" s="132">
        <f t="shared" si="21"/>
        <v>0</v>
      </c>
      <c r="AO33" s="132">
        <f t="shared" si="21"/>
        <v>0</v>
      </c>
      <c r="AP33" s="132">
        <f t="shared" ref="AP33:BU33" si="22" xml:space="preserve"> IF(AP32 = $F31, 1, 0)</f>
        <v>0</v>
      </c>
      <c r="AQ33" s="132">
        <f t="shared" si="22"/>
        <v>0</v>
      </c>
      <c r="AR33" s="132">
        <f t="shared" si="22"/>
        <v>0</v>
      </c>
      <c r="AS33" s="132">
        <f t="shared" si="22"/>
        <v>0</v>
      </c>
      <c r="AT33" s="132">
        <f t="shared" si="22"/>
        <v>0</v>
      </c>
      <c r="AU33" s="132">
        <f t="shared" si="22"/>
        <v>0</v>
      </c>
      <c r="AV33" s="132">
        <f t="shared" si="22"/>
        <v>0</v>
      </c>
      <c r="AW33" s="132">
        <f t="shared" si="22"/>
        <v>0</v>
      </c>
      <c r="AX33" s="132">
        <f t="shared" si="22"/>
        <v>0</v>
      </c>
      <c r="AY33" s="132">
        <f t="shared" si="22"/>
        <v>0</v>
      </c>
      <c r="AZ33" s="132">
        <f t="shared" si="22"/>
        <v>0</v>
      </c>
      <c r="BA33" s="132">
        <f t="shared" si="22"/>
        <v>0</v>
      </c>
      <c r="BB33" s="132">
        <f t="shared" si="22"/>
        <v>0</v>
      </c>
      <c r="BC33" s="132">
        <f t="shared" si="22"/>
        <v>0</v>
      </c>
      <c r="BD33" s="132">
        <f t="shared" si="22"/>
        <v>0</v>
      </c>
      <c r="BE33" s="132">
        <f t="shared" si="22"/>
        <v>0</v>
      </c>
      <c r="BF33" s="132">
        <f t="shared" si="22"/>
        <v>0</v>
      </c>
      <c r="BG33" s="132">
        <f t="shared" si="22"/>
        <v>0</v>
      </c>
      <c r="BH33" s="132">
        <f t="shared" si="22"/>
        <v>0</v>
      </c>
      <c r="BI33" s="132">
        <f t="shared" si="22"/>
        <v>0</v>
      </c>
      <c r="BJ33" s="132">
        <f t="shared" si="22"/>
        <v>0</v>
      </c>
      <c r="BK33" s="132">
        <f t="shared" si="22"/>
        <v>0</v>
      </c>
      <c r="BL33" s="132">
        <f t="shared" si="22"/>
        <v>0</v>
      </c>
      <c r="BM33" s="132">
        <f t="shared" si="22"/>
        <v>0</v>
      </c>
      <c r="BN33" s="132">
        <f t="shared" si="22"/>
        <v>0</v>
      </c>
      <c r="BO33" s="132">
        <f t="shared" si="22"/>
        <v>0</v>
      </c>
      <c r="BP33" s="132">
        <f t="shared" si="22"/>
        <v>0</v>
      </c>
      <c r="BQ33" s="132">
        <f t="shared" si="22"/>
        <v>0</v>
      </c>
      <c r="BR33" s="132">
        <f t="shared" si="22"/>
        <v>0</v>
      </c>
      <c r="BS33" s="132">
        <f t="shared" si="22"/>
        <v>0</v>
      </c>
      <c r="BT33" s="132">
        <f t="shared" si="22"/>
        <v>0</v>
      </c>
      <c r="BU33" s="132">
        <f t="shared" si="22"/>
        <v>0</v>
      </c>
      <c r="BV33" s="132">
        <f xml:space="preserve"> IF(BV32 = $F31, 1, 0)</f>
        <v>0</v>
      </c>
      <c r="BW33" s="132">
        <f xml:space="preserve"> IF(BW32 = $F31, 1, 0)</f>
        <v>0</v>
      </c>
      <c r="BX33" s="132">
        <f xml:space="preserve"> IF(BX32 = $F31, 1, 0)</f>
        <v>0</v>
      </c>
      <c r="BY33" s="132">
        <f xml:space="preserve"> IF(BY32 = $F31, 1, 0)</f>
        <v>0</v>
      </c>
    </row>
    <row r="34" spans="1:77" s="14" customFormat="1" x14ac:dyDescent="0.2">
      <c r="A34" s="5"/>
      <c r="B34" s="5"/>
      <c r="C34" s="12"/>
      <c r="D34" s="13"/>
    </row>
    <row r="35" spans="1:77" s="14" customFormat="1" x14ac:dyDescent="0.2">
      <c r="A35" s="5"/>
      <c r="B35" s="5" t="s">
        <v>19</v>
      </c>
      <c r="C35" s="12"/>
      <c r="D35" s="13"/>
    </row>
    <row r="36" spans="1:77" s="128" customFormat="1" x14ac:dyDescent="0.2">
      <c r="A36" s="133"/>
      <c r="B36" s="133"/>
      <c r="C36" s="134"/>
      <c r="E36" s="128" t="str">
        <f xml:space="preserve"> InpC!E$13</f>
        <v>Opening balance sheet date</v>
      </c>
      <c r="F36" s="128">
        <f xml:space="preserve"> InpC!F$13</f>
        <v>40694</v>
      </c>
      <c r="G36" s="128" t="str">
        <f xml:space="preserve"> InpC!G$13</f>
        <v>date</v>
      </c>
    </row>
    <row r="37" spans="1:77" s="122" customFormat="1" x14ac:dyDescent="0.2">
      <c r="A37" s="119"/>
      <c r="B37" s="119"/>
      <c r="C37" s="121"/>
      <c r="E37" s="122" t="str">
        <f xml:space="preserve"> InpC!E$14</f>
        <v>Length of forecast period</v>
      </c>
      <c r="F37" s="122">
        <f xml:space="preserve"> InpC!F$14</f>
        <v>5</v>
      </c>
      <c r="G37" s="122" t="str">
        <f xml:space="preserve"> InpC!G$14</f>
        <v>years</v>
      </c>
    </row>
    <row r="38" spans="1:77" s="27" customFormat="1" x14ac:dyDescent="0.2">
      <c r="A38" s="16"/>
      <c r="B38" s="16"/>
      <c r="C38" s="96"/>
      <c r="D38" s="29"/>
      <c r="E38" s="27" t="s">
        <v>7</v>
      </c>
      <c r="F38" s="97">
        <f xml:space="preserve"> DATE(YEAR(F36) + F37, MONTH(F36), DAY(F36))</f>
        <v>42521</v>
      </c>
      <c r="G38" s="27" t="s">
        <v>17</v>
      </c>
    </row>
    <row r="39" spans="1:77" s="14" customFormat="1" x14ac:dyDescent="0.2">
      <c r="A39" s="5"/>
      <c r="B39" s="5"/>
      <c r="C39" s="12"/>
      <c r="D39" s="13"/>
    </row>
    <row r="40" spans="1:77" s="117" customFormat="1" x14ac:dyDescent="0.2">
      <c r="A40" s="114"/>
      <c r="B40" s="114"/>
      <c r="C40" s="115"/>
      <c r="D40" s="116"/>
      <c r="E40" s="117" t="str">
        <f>InpC!E$13</f>
        <v>Opening balance sheet date</v>
      </c>
      <c r="F40" s="117">
        <f>InpC!F$13</f>
        <v>40694</v>
      </c>
      <c r="G40" s="117" t="str">
        <f>InpC!G$13</f>
        <v>date</v>
      </c>
    </row>
    <row r="41" spans="1:77" s="99" customFormat="1" x14ac:dyDescent="0.2">
      <c r="A41" s="20"/>
      <c r="B41" s="20"/>
      <c r="C41" s="22"/>
      <c r="D41" s="98"/>
      <c r="E41" s="99" t="str">
        <f xml:space="preserve"> E$38</f>
        <v>Last forecast date</v>
      </c>
      <c r="F41" s="99">
        <f xml:space="preserve"> F$38</f>
        <v>42521</v>
      </c>
      <c r="G41" s="99" t="str">
        <f xml:space="preserve"> G$38</f>
        <v>date</v>
      </c>
    </row>
    <row r="42" spans="1:77" s="84" customFormat="1" x14ac:dyDescent="0.2">
      <c r="A42" s="16"/>
      <c r="B42" s="16"/>
      <c r="C42" s="28"/>
      <c r="D42" s="83"/>
      <c r="E42" s="84" t="str">
        <f xml:space="preserve"> E$19</f>
        <v xml:space="preserve">Model period ending </v>
      </c>
      <c r="F42" s="84">
        <f t="shared" ref="F42:BQ42" si="23" xml:space="preserve"> F$19</f>
        <v>0</v>
      </c>
      <c r="G42" s="84" t="str">
        <f t="shared" si="23"/>
        <v>date</v>
      </c>
      <c r="H42" s="84">
        <f t="shared" si="23"/>
        <v>0</v>
      </c>
      <c r="I42" s="84">
        <f t="shared" si="23"/>
        <v>0</v>
      </c>
      <c r="J42" s="84">
        <f t="shared" si="23"/>
        <v>40694</v>
      </c>
      <c r="K42" s="84">
        <f t="shared" si="23"/>
        <v>40724</v>
      </c>
      <c r="L42" s="84">
        <f t="shared" si="23"/>
        <v>40755</v>
      </c>
      <c r="M42" s="84">
        <f t="shared" si="23"/>
        <v>40786</v>
      </c>
      <c r="N42" s="84">
        <f t="shared" si="23"/>
        <v>40816</v>
      </c>
      <c r="O42" s="84">
        <f t="shared" si="23"/>
        <v>40847</v>
      </c>
      <c r="P42" s="84">
        <f t="shared" si="23"/>
        <v>40877</v>
      </c>
      <c r="Q42" s="84">
        <f t="shared" si="23"/>
        <v>40908</v>
      </c>
      <c r="R42" s="84">
        <f t="shared" si="23"/>
        <v>40939</v>
      </c>
      <c r="S42" s="84">
        <f t="shared" si="23"/>
        <v>40968</v>
      </c>
      <c r="T42" s="84">
        <f t="shared" si="23"/>
        <v>40999</v>
      </c>
      <c r="U42" s="84">
        <f t="shared" si="23"/>
        <v>41029</v>
      </c>
      <c r="V42" s="84">
        <f t="shared" si="23"/>
        <v>41060</v>
      </c>
      <c r="W42" s="84">
        <f t="shared" si="23"/>
        <v>41090</v>
      </c>
      <c r="X42" s="84">
        <f t="shared" si="23"/>
        <v>41121</v>
      </c>
      <c r="Y42" s="84">
        <f t="shared" si="23"/>
        <v>41152</v>
      </c>
      <c r="Z42" s="84">
        <f t="shared" si="23"/>
        <v>41182</v>
      </c>
      <c r="AA42" s="84">
        <f t="shared" si="23"/>
        <v>41213</v>
      </c>
      <c r="AB42" s="84">
        <f t="shared" si="23"/>
        <v>41243</v>
      </c>
      <c r="AC42" s="84">
        <f t="shared" si="23"/>
        <v>41274</v>
      </c>
      <c r="AD42" s="84">
        <f t="shared" si="23"/>
        <v>41305</v>
      </c>
      <c r="AE42" s="84">
        <f t="shared" si="23"/>
        <v>41333</v>
      </c>
      <c r="AF42" s="84">
        <f t="shared" si="23"/>
        <v>41364</v>
      </c>
      <c r="AG42" s="84">
        <f t="shared" si="23"/>
        <v>41394</v>
      </c>
      <c r="AH42" s="84">
        <f t="shared" si="23"/>
        <v>41425</v>
      </c>
      <c r="AI42" s="84">
        <f t="shared" si="23"/>
        <v>41455</v>
      </c>
      <c r="AJ42" s="84">
        <f t="shared" si="23"/>
        <v>41486</v>
      </c>
      <c r="AK42" s="84">
        <f t="shared" si="23"/>
        <v>41517</v>
      </c>
      <c r="AL42" s="84">
        <f t="shared" si="23"/>
        <v>41547</v>
      </c>
      <c r="AM42" s="84">
        <f t="shared" si="23"/>
        <v>41578</v>
      </c>
      <c r="AN42" s="84">
        <f t="shared" si="23"/>
        <v>41608</v>
      </c>
      <c r="AO42" s="84">
        <f t="shared" si="23"/>
        <v>41639</v>
      </c>
      <c r="AP42" s="84">
        <f t="shared" si="23"/>
        <v>41670</v>
      </c>
      <c r="AQ42" s="84">
        <f t="shared" si="23"/>
        <v>41698</v>
      </c>
      <c r="AR42" s="84">
        <f t="shared" si="23"/>
        <v>41729</v>
      </c>
      <c r="AS42" s="84">
        <f t="shared" si="23"/>
        <v>41759</v>
      </c>
      <c r="AT42" s="84">
        <f t="shared" si="23"/>
        <v>41790</v>
      </c>
      <c r="AU42" s="84">
        <f t="shared" si="23"/>
        <v>41820</v>
      </c>
      <c r="AV42" s="84">
        <f t="shared" si="23"/>
        <v>41851</v>
      </c>
      <c r="AW42" s="84">
        <f t="shared" si="23"/>
        <v>41882</v>
      </c>
      <c r="AX42" s="84">
        <f t="shared" si="23"/>
        <v>41912</v>
      </c>
      <c r="AY42" s="84">
        <f t="shared" si="23"/>
        <v>41943</v>
      </c>
      <c r="AZ42" s="84">
        <f t="shared" si="23"/>
        <v>41973</v>
      </c>
      <c r="BA42" s="84">
        <f t="shared" si="23"/>
        <v>42004</v>
      </c>
      <c r="BB42" s="84">
        <f t="shared" si="23"/>
        <v>42035</v>
      </c>
      <c r="BC42" s="84">
        <f t="shared" si="23"/>
        <v>42063</v>
      </c>
      <c r="BD42" s="84">
        <f t="shared" si="23"/>
        <v>42094</v>
      </c>
      <c r="BE42" s="84">
        <f t="shared" si="23"/>
        <v>42124</v>
      </c>
      <c r="BF42" s="84">
        <f t="shared" si="23"/>
        <v>42155</v>
      </c>
      <c r="BG42" s="84">
        <f t="shared" si="23"/>
        <v>42185</v>
      </c>
      <c r="BH42" s="84">
        <f t="shared" si="23"/>
        <v>42216</v>
      </c>
      <c r="BI42" s="84">
        <f t="shared" si="23"/>
        <v>42247</v>
      </c>
      <c r="BJ42" s="84">
        <f t="shared" si="23"/>
        <v>42277</v>
      </c>
      <c r="BK42" s="84">
        <f t="shared" si="23"/>
        <v>42308</v>
      </c>
      <c r="BL42" s="84">
        <f t="shared" si="23"/>
        <v>42338</v>
      </c>
      <c r="BM42" s="84">
        <f t="shared" si="23"/>
        <v>42369</v>
      </c>
      <c r="BN42" s="84">
        <f t="shared" si="23"/>
        <v>42400</v>
      </c>
      <c r="BO42" s="84">
        <f t="shared" si="23"/>
        <v>42429</v>
      </c>
      <c r="BP42" s="84">
        <f t="shared" si="23"/>
        <v>42460</v>
      </c>
      <c r="BQ42" s="84">
        <f t="shared" si="23"/>
        <v>42490</v>
      </c>
      <c r="BR42" s="84">
        <f t="shared" ref="BR42:BY42" si="24" xml:space="preserve"> BR$19</f>
        <v>42521</v>
      </c>
      <c r="BS42" s="84">
        <f t="shared" si="24"/>
        <v>42551</v>
      </c>
      <c r="BT42" s="84">
        <f t="shared" si="24"/>
        <v>42582</v>
      </c>
      <c r="BU42" s="84">
        <f t="shared" si="24"/>
        <v>42613</v>
      </c>
      <c r="BV42" s="84">
        <f t="shared" si="24"/>
        <v>42643</v>
      </c>
      <c r="BW42" s="84">
        <f t="shared" si="24"/>
        <v>42674</v>
      </c>
      <c r="BX42" s="84">
        <f t="shared" si="24"/>
        <v>42704</v>
      </c>
      <c r="BY42" s="84">
        <f t="shared" si="24"/>
        <v>42735</v>
      </c>
    </row>
    <row r="43" spans="1:77" s="132" customFormat="1" x14ac:dyDescent="0.2">
      <c r="A43" s="129"/>
      <c r="B43" s="129"/>
      <c r="C43" s="130"/>
      <c r="D43" s="131"/>
      <c r="E43" s="132" t="s">
        <v>19</v>
      </c>
      <c r="G43" s="132" t="s">
        <v>16</v>
      </c>
      <c r="H43" s="132">
        <f>SUM(J43:BY43)</f>
        <v>60</v>
      </c>
      <c r="J43" s="132">
        <f xml:space="preserve"> IF(AND(J42 &gt; $F40, J42 &lt;=$F41), 1, 0)</f>
        <v>0</v>
      </c>
      <c r="K43" s="132">
        <f t="shared" ref="K43:AO43" si="25" xml:space="preserve"> IF(AND(K42 &gt; $F40, K42 &lt;=$F41), 1, 0)</f>
        <v>1</v>
      </c>
      <c r="L43" s="132">
        <f t="shared" si="25"/>
        <v>1</v>
      </c>
      <c r="M43" s="132">
        <f t="shared" si="25"/>
        <v>1</v>
      </c>
      <c r="N43" s="132">
        <f t="shared" si="25"/>
        <v>1</v>
      </c>
      <c r="O43" s="132">
        <f t="shared" si="25"/>
        <v>1</v>
      </c>
      <c r="P43" s="132">
        <f t="shared" si="25"/>
        <v>1</v>
      </c>
      <c r="Q43" s="132">
        <f t="shared" si="25"/>
        <v>1</v>
      </c>
      <c r="R43" s="132">
        <f t="shared" si="25"/>
        <v>1</v>
      </c>
      <c r="S43" s="132">
        <f t="shared" si="25"/>
        <v>1</v>
      </c>
      <c r="T43" s="132">
        <f t="shared" si="25"/>
        <v>1</v>
      </c>
      <c r="U43" s="132">
        <f t="shared" si="25"/>
        <v>1</v>
      </c>
      <c r="V43" s="132">
        <f t="shared" si="25"/>
        <v>1</v>
      </c>
      <c r="W43" s="132">
        <f t="shared" si="25"/>
        <v>1</v>
      </c>
      <c r="X43" s="132">
        <f t="shared" si="25"/>
        <v>1</v>
      </c>
      <c r="Y43" s="132">
        <f t="shared" si="25"/>
        <v>1</v>
      </c>
      <c r="Z43" s="132">
        <f t="shared" si="25"/>
        <v>1</v>
      </c>
      <c r="AA43" s="132">
        <f t="shared" si="25"/>
        <v>1</v>
      </c>
      <c r="AB43" s="132">
        <f t="shared" si="25"/>
        <v>1</v>
      </c>
      <c r="AC43" s="132">
        <f t="shared" si="25"/>
        <v>1</v>
      </c>
      <c r="AD43" s="132">
        <f t="shared" si="25"/>
        <v>1</v>
      </c>
      <c r="AE43" s="132">
        <f t="shared" si="25"/>
        <v>1</v>
      </c>
      <c r="AF43" s="132">
        <f t="shared" si="25"/>
        <v>1</v>
      </c>
      <c r="AG43" s="132">
        <f t="shared" si="25"/>
        <v>1</v>
      </c>
      <c r="AH43" s="132">
        <f t="shared" si="25"/>
        <v>1</v>
      </c>
      <c r="AI43" s="132">
        <f t="shared" si="25"/>
        <v>1</v>
      </c>
      <c r="AJ43" s="132">
        <f t="shared" si="25"/>
        <v>1</v>
      </c>
      <c r="AK43" s="132">
        <f t="shared" si="25"/>
        <v>1</v>
      </c>
      <c r="AL43" s="132">
        <f t="shared" si="25"/>
        <v>1</v>
      </c>
      <c r="AM43" s="132">
        <f t="shared" si="25"/>
        <v>1</v>
      </c>
      <c r="AN43" s="132">
        <f t="shared" si="25"/>
        <v>1</v>
      </c>
      <c r="AO43" s="132">
        <f t="shared" si="25"/>
        <v>1</v>
      </c>
      <c r="AP43" s="132">
        <f t="shared" ref="AP43:BU43" si="26" xml:space="preserve"> IF(AND(AP42 &gt; $F40, AP42 &lt;=$F41), 1, 0)</f>
        <v>1</v>
      </c>
      <c r="AQ43" s="132">
        <f t="shared" si="26"/>
        <v>1</v>
      </c>
      <c r="AR43" s="132">
        <f t="shared" si="26"/>
        <v>1</v>
      </c>
      <c r="AS43" s="132">
        <f t="shared" si="26"/>
        <v>1</v>
      </c>
      <c r="AT43" s="132">
        <f t="shared" si="26"/>
        <v>1</v>
      </c>
      <c r="AU43" s="132">
        <f t="shared" si="26"/>
        <v>1</v>
      </c>
      <c r="AV43" s="132">
        <f t="shared" si="26"/>
        <v>1</v>
      </c>
      <c r="AW43" s="132">
        <f t="shared" si="26"/>
        <v>1</v>
      </c>
      <c r="AX43" s="132">
        <f t="shared" si="26"/>
        <v>1</v>
      </c>
      <c r="AY43" s="132">
        <f t="shared" si="26"/>
        <v>1</v>
      </c>
      <c r="AZ43" s="132">
        <f t="shared" si="26"/>
        <v>1</v>
      </c>
      <c r="BA43" s="132">
        <f t="shared" si="26"/>
        <v>1</v>
      </c>
      <c r="BB43" s="132">
        <f t="shared" si="26"/>
        <v>1</v>
      </c>
      <c r="BC43" s="132">
        <f t="shared" si="26"/>
        <v>1</v>
      </c>
      <c r="BD43" s="132">
        <f t="shared" si="26"/>
        <v>1</v>
      </c>
      <c r="BE43" s="132">
        <f t="shared" si="26"/>
        <v>1</v>
      </c>
      <c r="BF43" s="132">
        <f t="shared" si="26"/>
        <v>1</v>
      </c>
      <c r="BG43" s="132">
        <f t="shared" si="26"/>
        <v>1</v>
      </c>
      <c r="BH43" s="132">
        <f t="shared" si="26"/>
        <v>1</v>
      </c>
      <c r="BI43" s="132">
        <f t="shared" si="26"/>
        <v>1</v>
      </c>
      <c r="BJ43" s="132">
        <f t="shared" si="26"/>
        <v>1</v>
      </c>
      <c r="BK43" s="132">
        <f t="shared" si="26"/>
        <v>1</v>
      </c>
      <c r="BL43" s="132">
        <f t="shared" si="26"/>
        <v>1</v>
      </c>
      <c r="BM43" s="132">
        <f t="shared" si="26"/>
        <v>1</v>
      </c>
      <c r="BN43" s="132">
        <f t="shared" si="26"/>
        <v>1</v>
      </c>
      <c r="BO43" s="132">
        <f t="shared" si="26"/>
        <v>1</v>
      </c>
      <c r="BP43" s="132">
        <f t="shared" si="26"/>
        <v>1</v>
      </c>
      <c r="BQ43" s="132">
        <f t="shared" si="26"/>
        <v>1</v>
      </c>
      <c r="BR43" s="132">
        <f t="shared" si="26"/>
        <v>1</v>
      </c>
      <c r="BS43" s="132">
        <f t="shared" si="26"/>
        <v>0</v>
      </c>
      <c r="BT43" s="132">
        <f t="shared" si="26"/>
        <v>0</v>
      </c>
      <c r="BU43" s="132">
        <f t="shared" si="26"/>
        <v>0</v>
      </c>
      <c r="BV43" s="132">
        <f xml:space="preserve"> IF(AND(BV42 &gt; $F40, BV42 &lt;=$F41), 1, 0)</f>
        <v>0</v>
      </c>
      <c r="BW43" s="132">
        <f xml:space="preserve"> IF(AND(BW42 &gt; $F40, BW42 &lt;=$F41), 1, 0)</f>
        <v>0</v>
      </c>
      <c r="BX43" s="132">
        <f xml:space="preserve"> IF(AND(BX42 &gt; $F40, BX42 &lt;=$F41), 1, 0)</f>
        <v>0</v>
      </c>
      <c r="BY43" s="132">
        <f xml:space="preserve"> IF(AND(BY42 &gt; $F40, BY42 &lt;=$F41), 1, 0)</f>
        <v>0</v>
      </c>
    </row>
    <row r="44" spans="1:77" s="14" customFormat="1" x14ac:dyDescent="0.2">
      <c r="A44" s="5"/>
      <c r="B44" s="5"/>
      <c r="C44" s="12"/>
      <c r="D44" s="13"/>
    </row>
    <row r="45" spans="1:77" s="14" customFormat="1" x14ac:dyDescent="0.2">
      <c r="A45" s="5"/>
      <c r="B45" s="5" t="s">
        <v>9</v>
      </c>
      <c r="C45" s="12"/>
      <c r="D45" s="13"/>
    </row>
    <row r="46" spans="1:77" s="99" customFormat="1" x14ac:dyDescent="0.2">
      <c r="A46" s="20"/>
      <c r="B46" s="20"/>
      <c r="C46" s="22"/>
      <c r="D46" s="98"/>
      <c r="E46" s="99" t="str">
        <f xml:space="preserve"> E$38</f>
        <v>Last forecast date</v>
      </c>
      <c r="F46" s="99">
        <f xml:space="preserve"> F$38</f>
        <v>42521</v>
      </c>
      <c r="G46" s="99" t="str">
        <f xml:space="preserve"> G$38</f>
        <v>date</v>
      </c>
    </row>
    <row r="47" spans="1:77" s="18" customFormat="1" x14ac:dyDescent="0.2">
      <c r="A47" s="16"/>
      <c r="B47" s="16"/>
      <c r="C47" s="28"/>
      <c r="D47" s="65"/>
      <c r="E47" s="18" t="str">
        <f xml:space="preserve"> E$19</f>
        <v xml:space="preserve">Model period ending </v>
      </c>
      <c r="F47" s="18">
        <f t="shared" ref="F47:BQ47" si="27" xml:space="preserve"> F$19</f>
        <v>0</v>
      </c>
      <c r="G47" s="18" t="str">
        <f t="shared" si="27"/>
        <v>date</v>
      </c>
      <c r="H47" s="18">
        <f t="shared" si="27"/>
        <v>0</v>
      </c>
      <c r="I47" s="18">
        <f t="shared" si="27"/>
        <v>0</v>
      </c>
      <c r="J47" s="18">
        <f t="shared" si="27"/>
        <v>40694</v>
      </c>
      <c r="K47" s="18">
        <f t="shared" si="27"/>
        <v>40724</v>
      </c>
      <c r="L47" s="18">
        <f t="shared" si="27"/>
        <v>40755</v>
      </c>
      <c r="M47" s="18">
        <f t="shared" si="27"/>
        <v>40786</v>
      </c>
      <c r="N47" s="18">
        <f t="shared" si="27"/>
        <v>40816</v>
      </c>
      <c r="O47" s="18">
        <f t="shared" si="27"/>
        <v>40847</v>
      </c>
      <c r="P47" s="18">
        <f t="shared" si="27"/>
        <v>40877</v>
      </c>
      <c r="Q47" s="18">
        <f t="shared" si="27"/>
        <v>40908</v>
      </c>
      <c r="R47" s="18">
        <f t="shared" si="27"/>
        <v>40939</v>
      </c>
      <c r="S47" s="18">
        <f t="shared" si="27"/>
        <v>40968</v>
      </c>
      <c r="T47" s="18">
        <f t="shared" si="27"/>
        <v>40999</v>
      </c>
      <c r="U47" s="18">
        <f t="shared" si="27"/>
        <v>41029</v>
      </c>
      <c r="V47" s="18">
        <f t="shared" si="27"/>
        <v>41060</v>
      </c>
      <c r="W47" s="18">
        <f t="shared" si="27"/>
        <v>41090</v>
      </c>
      <c r="X47" s="18">
        <f t="shared" si="27"/>
        <v>41121</v>
      </c>
      <c r="Y47" s="18">
        <f t="shared" si="27"/>
        <v>41152</v>
      </c>
      <c r="Z47" s="18">
        <f t="shared" si="27"/>
        <v>41182</v>
      </c>
      <c r="AA47" s="18">
        <f t="shared" si="27"/>
        <v>41213</v>
      </c>
      <c r="AB47" s="18">
        <f t="shared" si="27"/>
        <v>41243</v>
      </c>
      <c r="AC47" s="18">
        <f t="shared" si="27"/>
        <v>41274</v>
      </c>
      <c r="AD47" s="18">
        <f t="shared" si="27"/>
        <v>41305</v>
      </c>
      <c r="AE47" s="18">
        <f t="shared" si="27"/>
        <v>41333</v>
      </c>
      <c r="AF47" s="18">
        <f t="shared" si="27"/>
        <v>41364</v>
      </c>
      <c r="AG47" s="18">
        <f t="shared" si="27"/>
        <v>41394</v>
      </c>
      <c r="AH47" s="18">
        <f t="shared" si="27"/>
        <v>41425</v>
      </c>
      <c r="AI47" s="18">
        <f t="shared" si="27"/>
        <v>41455</v>
      </c>
      <c r="AJ47" s="18">
        <f t="shared" si="27"/>
        <v>41486</v>
      </c>
      <c r="AK47" s="18">
        <f t="shared" si="27"/>
        <v>41517</v>
      </c>
      <c r="AL47" s="18">
        <f t="shared" si="27"/>
        <v>41547</v>
      </c>
      <c r="AM47" s="18">
        <f t="shared" si="27"/>
        <v>41578</v>
      </c>
      <c r="AN47" s="18">
        <f t="shared" si="27"/>
        <v>41608</v>
      </c>
      <c r="AO47" s="18">
        <f t="shared" si="27"/>
        <v>41639</v>
      </c>
      <c r="AP47" s="18">
        <f t="shared" si="27"/>
        <v>41670</v>
      </c>
      <c r="AQ47" s="18">
        <f t="shared" si="27"/>
        <v>41698</v>
      </c>
      <c r="AR47" s="18">
        <f t="shared" si="27"/>
        <v>41729</v>
      </c>
      <c r="AS47" s="18">
        <f t="shared" si="27"/>
        <v>41759</v>
      </c>
      <c r="AT47" s="18">
        <f t="shared" si="27"/>
        <v>41790</v>
      </c>
      <c r="AU47" s="18">
        <f t="shared" si="27"/>
        <v>41820</v>
      </c>
      <c r="AV47" s="18">
        <f t="shared" si="27"/>
        <v>41851</v>
      </c>
      <c r="AW47" s="18">
        <f t="shared" si="27"/>
        <v>41882</v>
      </c>
      <c r="AX47" s="18">
        <f t="shared" si="27"/>
        <v>41912</v>
      </c>
      <c r="AY47" s="18">
        <f t="shared" si="27"/>
        <v>41943</v>
      </c>
      <c r="AZ47" s="18">
        <f t="shared" si="27"/>
        <v>41973</v>
      </c>
      <c r="BA47" s="18">
        <f t="shared" si="27"/>
        <v>42004</v>
      </c>
      <c r="BB47" s="18">
        <f t="shared" si="27"/>
        <v>42035</v>
      </c>
      <c r="BC47" s="18">
        <f t="shared" si="27"/>
        <v>42063</v>
      </c>
      <c r="BD47" s="18">
        <f t="shared" si="27"/>
        <v>42094</v>
      </c>
      <c r="BE47" s="18">
        <f t="shared" si="27"/>
        <v>42124</v>
      </c>
      <c r="BF47" s="18">
        <f t="shared" si="27"/>
        <v>42155</v>
      </c>
      <c r="BG47" s="18">
        <f t="shared" si="27"/>
        <v>42185</v>
      </c>
      <c r="BH47" s="18">
        <f t="shared" si="27"/>
        <v>42216</v>
      </c>
      <c r="BI47" s="18">
        <f t="shared" si="27"/>
        <v>42247</v>
      </c>
      <c r="BJ47" s="18">
        <f t="shared" si="27"/>
        <v>42277</v>
      </c>
      <c r="BK47" s="18">
        <f t="shared" si="27"/>
        <v>42308</v>
      </c>
      <c r="BL47" s="18">
        <f t="shared" si="27"/>
        <v>42338</v>
      </c>
      <c r="BM47" s="18">
        <f t="shared" si="27"/>
        <v>42369</v>
      </c>
      <c r="BN47" s="18">
        <f t="shared" si="27"/>
        <v>42400</v>
      </c>
      <c r="BO47" s="18">
        <f t="shared" si="27"/>
        <v>42429</v>
      </c>
      <c r="BP47" s="18">
        <f t="shared" si="27"/>
        <v>42460</v>
      </c>
      <c r="BQ47" s="18">
        <f t="shared" si="27"/>
        <v>42490</v>
      </c>
      <c r="BR47" s="18">
        <f t="shared" ref="BR47:BY47" si="28" xml:space="preserve"> BR$19</f>
        <v>42521</v>
      </c>
      <c r="BS47" s="18">
        <f t="shared" si="28"/>
        <v>42551</v>
      </c>
      <c r="BT47" s="18">
        <f t="shared" si="28"/>
        <v>42582</v>
      </c>
      <c r="BU47" s="18">
        <f t="shared" si="28"/>
        <v>42613</v>
      </c>
      <c r="BV47" s="18">
        <f t="shared" si="28"/>
        <v>42643</v>
      </c>
      <c r="BW47" s="18">
        <f t="shared" si="28"/>
        <v>42674</v>
      </c>
      <c r="BX47" s="18">
        <f t="shared" si="28"/>
        <v>42704</v>
      </c>
      <c r="BY47" s="18">
        <f t="shared" si="28"/>
        <v>42735</v>
      </c>
    </row>
    <row r="48" spans="1:77" s="36" customFormat="1" x14ac:dyDescent="0.2">
      <c r="A48" s="5"/>
      <c r="B48" s="5"/>
      <c r="C48" s="12"/>
      <c r="D48" s="39"/>
      <c r="E48" s="36" t="s">
        <v>9</v>
      </c>
      <c r="F48" s="5"/>
      <c r="G48" s="36" t="s">
        <v>16</v>
      </c>
      <c r="H48" s="36">
        <f>SUM(J48:BY48)</f>
        <v>1</v>
      </c>
      <c r="J48" s="36">
        <f xml:space="preserve"> IF(J47 = $F46, 1, 0)</f>
        <v>0</v>
      </c>
      <c r="K48" s="36">
        <f t="shared" ref="K48:BV48" si="29" xml:space="preserve"> IF(K47 = $F46, 1, 0)</f>
        <v>0</v>
      </c>
      <c r="L48" s="36">
        <f t="shared" si="29"/>
        <v>0</v>
      </c>
      <c r="M48" s="36">
        <f t="shared" si="29"/>
        <v>0</v>
      </c>
      <c r="N48" s="36">
        <f t="shared" si="29"/>
        <v>0</v>
      </c>
      <c r="O48" s="36">
        <f t="shared" si="29"/>
        <v>0</v>
      </c>
      <c r="P48" s="36">
        <f t="shared" si="29"/>
        <v>0</v>
      </c>
      <c r="Q48" s="36">
        <f t="shared" si="29"/>
        <v>0</v>
      </c>
      <c r="R48" s="36">
        <f t="shared" si="29"/>
        <v>0</v>
      </c>
      <c r="S48" s="36">
        <f t="shared" si="29"/>
        <v>0</v>
      </c>
      <c r="T48" s="36">
        <f t="shared" si="29"/>
        <v>0</v>
      </c>
      <c r="U48" s="36">
        <f t="shared" si="29"/>
        <v>0</v>
      </c>
      <c r="V48" s="36">
        <f t="shared" si="29"/>
        <v>0</v>
      </c>
      <c r="W48" s="36">
        <f t="shared" si="29"/>
        <v>0</v>
      </c>
      <c r="X48" s="36">
        <f t="shared" si="29"/>
        <v>0</v>
      </c>
      <c r="Y48" s="36">
        <f t="shared" si="29"/>
        <v>0</v>
      </c>
      <c r="Z48" s="36">
        <f t="shared" si="29"/>
        <v>0</v>
      </c>
      <c r="AA48" s="36">
        <f t="shared" si="29"/>
        <v>0</v>
      </c>
      <c r="AB48" s="36">
        <f t="shared" si="29"/>
        <v>0</v>
      </c>
      <c r="AC48" s="36">
        <f t="shared" si="29"/>
        <v>0</v>
      </c>
      <c r="AD48" s="36">
        <f t="shared" si="29"/>
        <v>0</v>
      </c>
      <c r="AE48" s="36">
        <f t="shared" si="29"/>
        <v>0</v>
      </c>
      <c r="AF48" s="36">
        <f t="shared" si="29"/>
        <v>0</v>
      </c>
      <c r="AG48" s="36">
        <f t="shared" si="29"/>
        <v>0</v>
      </c>
      <c r="AH48" s="36">
        <f t="shared" si="29"/>
        <v>0</v>
      </c>
      <c r="AI48" s="36">
        <f t="shared" si="29"/>
        <v>0</v>
      </c>
      <c r="AJ48" s="36">
        <f t="shared" si="29"/>
        <v>0</v>
      </c>
      <c r="AK48" s="36">
        <f t="shared" si="29"/>
        <v>0</v>
      </c>
      <c r="AL48" s="36">
        <f t="shared" si="29"/>
        <v>0</v>
      </c>
      <c r="AM48" s="36">
        <f t="shared" si="29"/>
        <v>0</v>
      </c>
      <c r="AN48" s="36">
        <f t="shared" si="29"/>
        <v>0</v>
      </c>
      <c r="AO48" s="36">
        <f t="shared" si="29"/>
        <v>0</v>
      </c>
      <c r="AP48" s="36">
        <f t="shared" si="29"/>
        <v>0</v>
      </c>
      <c r="AQ48" s="36">
        <f t="shared" si="29"/>
        <v>0</v>
      </c>
      <c r="AR48" s="36">
        <f t="shared" si="29"/>
        <v>0</v>
      </c>
      <c r="AS48" s="36">
        <f t="shared" si="29"/>
        <v>0</v>
      </c>
      <c r="AT48" s="36">
        <f t="shared" si="29"/>
        <v>0</v>
      </c>
      <c r="AU48" s="36">
        <f t="shared" si="29"/>
        <v>0</v>
      </c>
      <c r="AV48" s="36">
        <f t="shared" si="29"/>
        <v>0</v>
      </c>
      <c r="AW48" s="36">
        <f t="shared" si="29"/>
        <v>0</v>
      </c>
      <c r="AX48" s="36">
        <f t="shared" si="29"/>
        <v>0</v>
      </c>
      <c r="AY48" s="36">
        <f t="shared" si="29"/>
        <v>0</v>
      </c>
      <c r="AZ48" s="36">
        <f t="shared" si="29"/>
        <v>0</v>
      </c>
      <c r="BA48" s="36">
        <f t="shared" si="29"/>
        <v>0</v>
      </c>
      <c r="BB48" s="36">
        <f t="shared" si="29"/>
        <v>0</v>
      </c>
      <c r="BC48" s="36">
        <f t="shared" si="29"/>
        <v>0</v>
      </c>
      <c r="BD48" s="36">
        <f t="shared" si="29"/>
        <v>0</v>
      </c>
      <c r="BE48" s="36">
        <f t="shared" si="29"/>
        <v>0</v>
      </c>
      <c r="BF48" s="36">
        <f t="shared" si="29"/>
        <v>0</v>
      </c>
      <c r="BG48" s="36">
        <f t="shared" si="29"/>
        <v>0</v>
      </c>
      <c r="BH48" s="36">
        <f t="shared" si="29"/>
        <v>0</v>
      </c>
      <c r="BI48" s="36">
        <f t="shared" si="29"/>
        <v>0</v>
      </c>
      <c r="BJ48" s="36">
        <f t="shared" si="29"/>
        <v>0</v>
      </c>
      <c r="BK48" s="36">
        <f t="shared" si="29"/>
        <v>0</v>
      </c>
      <c r="BL48" s="36">
        <f t="shared" si="29"/>
        <v>0</v>
      </c>
      <c r="BM48" s="36">
        <f t="shared" si="29"/>
        <v>0</v>
      </c>
      <c r="BN48" s="36">
        <f t="shared" si="29"/>
        <v>0</v>
      </c>
      <c r="BO48" s="36">
        <f t="shared" si="29"/>
        <v>0</v>
      </c>
      <c r="BP48" s="36">
        <f t="shared" si="29"/>
        <v>0</v>
      </c>
      <c r="BQ48" s="36">
        <f t="shared" si="29"/>
        <v>0</v>
      </c>
      <c r="BR48" s="36">
        <f t="shared" si="29"/>
        <v>1</v>
      </c>
      <c r="BS48" s="36">
        <f t="shared" si="29"/>
        <v>0</v>
      </c>
      <c r="BT48" s="36">
        <f t="shared" si="29"/>
        <v>0</v>
      </c>
      <c r="BU48" s="36">
        <f t="shared" si="29"/>
        <v>0</v>
      </c>
      <c r="BV48" s="36">
        <f t="shared" si="29"/>
        <v>0</v>
      </c>
      <c r="BW48" s="36">
        <f xml:space="preserve"> IF(BW47 = $F46, 1, 0)</f>
        <v>0</v>
      </c>
      <c r="BX48" s="36">
        <f xml:space="preserve"> IF(BX47 = $F46, 1, 0)</f>
        <v>0</v>
      </c>
      <c r="BY48" s="36">
        <f xml:space="preserve"> IF(BY47 = $F46, 1, 0)</f>
        <v>0</v>
      </c>
    </row>
    <row r="49" spans="1:79" s="14" customFormat="1" x14ac:dyDescent="0.2">
      <c r="A49" s="5"/>
      <c r="B49" s="5"/>
      <c r="C49" s="12"/>
      <c r="D49" s="13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</row>
    <row r="51" spans="1:79" s="14" customFormat="1" x14ac:dyDescent="0.2">
      <c r="A51" s="5" t="s">
        <v>90</v>
      </c>
      <c r="B51" s="8"/>
      <c r="C51" s="72"/>
      <c r="D51" s="13"/>
      <c r="E51" s="15"/>
      <c r="F51" s="15"/>
      <c r="G51" s="15"/>
      <c r="H51" s="15"/>
      <c r="I51" s="15"/>
      <c r="J51" s="15"/>
      <c r="K51" s="15" t="s">
        <v>65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</row>
    <row r="52" spans="1:79" s="14" customFormat="1" x14ac:dyDescent="0.2">
      <c r="A52" s="5"/>
      <c r="B52" s="8"/>
      <c r="C52" s="72"/>
      <c r="D52" s="13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</row>
    <row r="53" spans="1:79" s="14" customFormat="1" x14ac:dyDescent="0.2">
      <c r="A53" s="5"/>
      <c r="B53" s="8"/>
      <c r="C53" s="72"/>
      <c r="D53" s="13"/>
      <c r="E53" s="15" t="str">
        <f xml:space="preserve"> E$33</f>
        <v>Acquisition / initial balance date flag</v>
      </c>
      <c r="F53" s="15">
        <f t="shared" ref="F53:BQ53" si="30" xml:space="preserve"> F$33</f>
        <v>0</v>
      </c>
      <c r="G53" s="15" t="str">
        <f t="shared" si="30"/>
        <v>flag</v>
      </c>
      <c r="H53" s="15">
        <f t="shared" si="30"/>
        <v>1</v>
      </c>
      <c r="I53" s="15">
        <f t="shared" si="30"/>
        <v>0</v>
      </c>
      <c r="J53" s="15">
        <f t="shared" si="30"/>
        <v>1</v>
      </c>
      <c r="K53" s="15">
        <f t="shared" si="30"/>
        <v>0</v>
      </c>
      <c r="L53" s="15">
        <f t="shared" si="30"/>
        <v>0</v>
      </c>
      <c r="M53" s="15">
        <f t="shared" si="30"/>
        <v>0</v>
      </c>
      <c r="N53" s="15">
        <f t="shared" si="30"/>
        <v>0</v>
      </c>
      <c r="O53" s="15">
        <f t="shared" si="30"/>
        <v>0</v>
      </c>
      <c r="P53" s="15">
        <f t="shared" si="30"/>
        <v>0</v>
      </c>
      <c r="Q53" s="15">
        <f t="shared" si="30"/>
        <v>0</v>
      </c>
      <c r="R53" s="15">
        <f t="shared" si="30"/>
        <v>0</v>
      </c>
      <c r="S53" s="15">
        <f t="shared" si="30"/>
        <v>0</v>
      </c>
      <c r="T53" s="15">
        <f t="shared" si="30"/>
        <v>0</v>
      </c>
      <c r="U53" s="15">
        <f t="shared" si="30"/>
        <v>0</v>
      </c>
      <c r="V53" s="15">
        <f t="shared" si="30"/>
        <v>0</v>
      </c>
      <c r="W53" s="15">
        <f t="shared" si="30"/>
        <v>0</v>
      </c>
      <c r="X53" s="15">
        <f t="shared" si="30"/>
        <v>0</v>
      </c>
      <c r="Y53" s="15">
        <f t="shared" si="30"/>
        <v>0</v>
      </c>
      <c r="Z53" s="15">
        <f t="shared" si="30"/>
        <v>0</v>
      </c>
      <c r="AA53" s="15">
        <f t="shared" si="30"/>
        <v>0</v>
      </c>
      <c r="AB53" s="15">
        <f t="shared" si="30"/>
        <v>0</v>
      </c>
      <c r="AC53" s="15">
        <f t="shared" si="30"/>
        <v>0</v>
      </c>
      <c r="AD53" s="15">
        <f t="shared" si="30"/>
        <v>0</v>
      </c>
      <c r="AE53" s="15">
        <f t="shared" si="30"/>
        <v>0</v>
      </c>
      <c r="AF53" s="15">
        <f t="shared" si="30"/>
        <v>0</v>
      </c>
      <c r="AG53" s="15">
        <f t="shared" si="30"/>
        <v>0</v>
      </c>
      <c r="AH53" s="15">
        <f t="shared" si="30"/>
        <v>0</v>
      </c>
      <c r="AI53" s="15">
        <f t="shared" si="30"/>
        <v>0</v>
      </c>
      <c r="AJ53" s="15">
        <f t="shared" si="30"/>
        <v>0</v>
      </c>
      <c r="AK53" s="15">
        <f t="shared" si="30"/>
        <v>0</v>
      </c>
      <c r="AL53" s="15">
        <f t="shared" si="30"/>
        <v>0</v>
      </c>
      <c r="AM53" s="15">
        <f t="shared" si="30"/>
        <v>0</v>
      </c>
      <c r="AN53" s="15">
        <f t="shared" si="30"/>
        <v>0</v>
      </c>
      <c r="AO53" s="15">
        <f t="shared" si="30"/>
        <v>0</v>
      </c>
      <c r="AP53" s="15">
        <f t="shared" si="30"/>
        <v>0</v>
      </c>
      <c r="AQ53" s="15">
        <f t="shared" si="30"/>
        <v>0</v>
      </c>
      <c r="AR53" s="15">
        <f t="shared" si="30"/>
        <v>0</v>
      </c>
      <c r="AS53" s="15">
        <f t="shared" si="30"/>
        <v>0</v>
      </c>
      <c r="AT53" s="15">
        <f t="shared" si="30"/>
        <v>0</v>
      </c>
      <c r="AU53" s="15">
        <f t="shared" si="30"/>
        <v>0</v>
      </c>
      <c r="AV53" s="15">
        <f t="shared" si="30"/>
        <v>0</v>
      </c>
      <c r="AW53" s="15">
        <f t="shared" si="30"/>
        <v>0</v>
      </c>
      <c r="AX53" s="15">
        <f t="shared" si="30"/>
        <v>0</v>
      </c>
      <c r="AY53" s="15">
        <f t="shared" si="30"/>
        <v>0</v>
      </c>
      <c r="AZ53" s="15">
        <f t="shared" si="30"/>
        <v>0</v>
      </c>
      <c r="BA53" s="15">
        <f t="shared" si="30"/>
        <v>0</v>
      </c>
      <c r="BB53" s="15">
        <f t="shared" si="30"/>
        <v>0</v>
      </c>
      <c r="BC53" s="15">
        <f t="shared" si="30"/>
        <v>0</v>
      </c>
      <c r="BD53" s="15">
        <f t="shared" si="30"/>
        <v>0</v>
      </c>
      <c r="BE53" s="15">
        <f t="shared" si="30"/>
        <v>0</v>
      </c>
      <c r="BF53" s="15">
        <f t="shared" si="30"/>
        <v>0</v>
      </c>
      <c r="BG53" s="15">
        <f t="shared" si="30"/>
        <v>0</v>
      </c>
      <c r="BH53" s="15">
        <f t="shared" si="30"/>
        <v>0</v>
      </c>
      <c r="BI53" s="15">
        <f t="shared" si="30"/>
        <v>0</v>
      </c>
      <c r="BJ53" s="15">
        <f t="shared" si="30"/>
        <v>0</v>
      </c>
      <c r="BK53" s="15">
        <f t="shared" si="30"/>
        <v>0</v>
      </c>
      <c r="BL53" s="15">
        <f t="shared" si="30"/>
        <v>0</v>
      </c>
      <c r="BM53" s="15">
        <f t="shared" si="30"/>
        <v>0</v>
      </c>
      <c r="BN53" s="15">
        <f t="shared" si="30"/>
        <v>0</v>
      </c>
      <c r="BO53" s="15">
        <f t="shared" si="30"/>
        <v>0</v>
      </c>
      <c r="BP53" s="15">
        <f t="shared" si="30"/>
        <v>0</v>
      </c>
      <c r="BQ53" s="15">
        <f t="shared" si="30"/>
        <v>0</v>
      </c>
      <c r="BR53" s="15">
        <f t="shared" ref="BR53:BY53" si="31" xml:space="preserve"> BR$33</f>
        <v>0</v>
      </c>
      <c r="BS53" s="15">
        <f t="shared" si="31"/>
        <v>0</v>
      </c>
      <c r="BT53" s="15">
        <f t="shared" si="31"/>
        <v>0</v>
      </c>
      <c r="BU53" s="15">
        <f t="shared" si="31"/>
        <v>0</v>
      </c>
      <c r="BV53" s="15">
        <f t="shared" si="31"/>
        <v>0</v>
      </c>
      <c r="BW53" s="15">
        <f t="shared" si="31"/>
        <v>0</v>
      </c>
      <c r="BX53" s="15">
        <f t="shared" si="31"/>
        <v>0</v>
      </c>
      <c r="BY53" s="15">
        <f t="shared" si="31"/>
        <v>0</v>
      </c>
    </row>
    <row r="54" spans="1:79" s="14" customFormat="1" x14ac:dyDescent="0.2">
      <c r="A54" s="5"/>
      <c r="B54" s="8"/>
      <c r="C54" s="72"/>
      <c r="D54" s="13"/>
      <c r="E54" s="15" t="str">
        <f xml:space="preserve"> E$43</f>
        <v>Forecast period flag</v>
      </c>
      <c r="F54" s="15">
        <f t="shared" ref="F54:BQ54" si="32" xml:space="preserve"> F$43</f>
        <v>0</v>
      </c>
      <c r="G54" s="15" t="str">
        <f t="shared" si="32"/>
        <v>flag</v>
      </c>
      <c r="H54" s="15">
        <f t="shared" si="32"/>
        <v>60</v>
      </c>
      <c r="I54" s="15">
        <f t="shared" si="32"/>
        <v>0</v>
      </c>
      <c r="J54" s="15">
        <f t="shared" si="32"/>
        <v>0</v>
      </c>
      <c r="K54" s="15">
        <f t="shared" si="32"/>
        <v>1</v>
      </c>
      <c r="L54" s="15">
        <f t="shared" si="32"/>
        <v>1</v>
      </c>
      <c r="M54" s="15">
        <f t="shared" si="32"/>
        <v>1</v>
      </c>
      <c r="N54" s="15">
        <f t="shared" si="32"/>
        <v>1</v>
      </c>
      <c r="O54" s="15">
        <f t="shared" si="32"/>
        <v>1</v>
      </c>
      <c r="P54" s="15">
        <f t="shared" si="32"/>
        <v>1</v>
      </c>
      <c r="Q54" s="15">
        <f t="shared" si="32"/>
        <v>1</v>
      </c>
      <c r="R54" s="15">
        <f t="shared" si="32"/>
        <v>1</v>
      </c>
      <c r="S54" s="15">
        <f t="shared" si="32"/>
        <v>1</v>
      </c>
      <c r="T54" s="15">
        <f t="shared" si="32"/>
        <v>1</v>
      </c>
      <c r="U54" s="15">
        <f t="shared" si="32"/>
        <v>1</v>
      </c>
      <c r="V54" s="15">
        <f t="shared" si="32"/>
        <v>1</v>
      </c>
      <c r="W54" s="15">
        <f t="shared" si="32"/>
        <v>1</v>
      </c>
      <c r="X54" s="15">
        <f t="shared" si="32"/>
        <v>1</v>
      </c>
      <c r="Y54" s="15">
        <f t="shared" si="32"/>
        <v>1</v>
      </c>
      <c r="Z54" s="15">
        <f t="shared" si="32"/>
        <v>1</v>
      </c>
      <c r="AA54" s="15">
        <f t="shared" si="32"/>
        <v>1</v>
      </c>
      <c r="AB54" s="15">
        <f t="shared" si="32"/>
        <v>1</v>
      </c>
      <c r="AC54" s="15">
        <f t="shared" si="32"/>
        <v>1</v>
      </c>
      <c r="AD54" s="15">
        <f t="shared" si="32"/>
        <v>1</v>
      </c>
      <c r="AE54" s="15">
        <f t="shared" si="32"/>
        <v>1</v>
      </c>
      <c r="AF54" s="15">
        <f t="shared" si="32"/>
        <v>1</v>
      </c>
      <c r="AG54" s="15">
        <f t="shared" si="32"/>
        <v>1</v>
      </c>
      <c r="AH54" s="15">
        <f t="shared" si="32"/>
        <v>1</v>
      </c>
      <c r="AI54" s="15">
        <f t="shared" si="32"/>
        <v>1</v>
      </c>
      <c r="AJ54" s="15">
        <f t="shared" si="32"/>
        <v>1</v>
      </c>
      <c r="AK54" s="15">
        <f t="shared" si="32"/>
        <v>1</v>
      </c>
      <c r="AL54" s="15">
        <f t="shared" si="32"/>
        <v>1</v>
      </c>
      <c r="AM54" s="15">
        <f t="shared" si="32"/>
        <v>1</v>
      </c>
      <c r="AN54" s="15">
        <f t="shared" si="32"/>
        <v>1</v>
      </c>
      <c r="AO54" s="15">
        <f t="shared" si="32"/>
        <v>1</v>
      </c>
      <c r="AP54" s="15">
        <f t="shared" si="32"/>
        <v>1</v>
      </c>
      <c r="AQ54" s="15">
        <f t="shared" si="32"/>
        <v>1</v>
      </c>
      <c r="AR54" s="15">
        <f t="shared" si="32"/>
        <v>1</v>
      </c>
      <c r="AS54" s="15">
        <f t="shared" si="32"/>
        <v>1</v>
      </c>
      <c r="AT54" s="15">
        <f t="shared" si="32"/>
        <v>1</v>
      </c>
      <c r="AU54" s="15">
        <f t="shared" si="32"/>
        <v>1</v>
      </c>
      <c r="AV54" s="15">
        <f t="shared" si="32"/>
        <v>1</v>
      </c>
      <c r="AW54" s="15">
        <f t="shared" si="32"/>
        <v>1</v>
      </c>
      <c r="AX54" s="15">
        <f t="shared" si="32"/>
        <v>1</v>
      </c>
      <c r="AY54" s="15">
        <f t="shared" si="32"/>
        <v>1</v>
      </c>
      <c r="AZ54" s="15">
        <f t="shared" si="32"/>
        <v>1</v>
      </c>
      <c r="BA54" s="15">
        <f t="shared" si="32"/>
        <v>1</v>
      </c>
      <c r="BB54" s="15">
        <f t="shared" si="32"/>
        <v>1</v>
      </c>
      <c r="BC54" s="15">
        <f t="shared" si="32"/>
        <v>1</v>
      </c>
      <c r="BD54" s="15">
        <f t="shared" si="32"/>
        <v>1</v>
      </c>
      <c r="BE54" s="15">
        <f t="shared" si="32"/>
        <v>1</v>
      </c>
      <c r="BF54" s="15">
        <f t="shared" si="32"/>
        <v>1</v>
      </c>
      <c r="BG54" s="15">
        <f t="shared" si="32"/>
        <v>1</v>
      </c>
      <c r="BH54" s="15">
        <f t="shared" si="32"/>
        <v>1</v>
      </c>
      <c r="BI54" s="15">
        <f t="shared" si="32"/>
        <v>1</v>
      </c>
      <c r="BJ54" s="15">
        <f t="shared" si="32"/>
        <v>1</v>
      </c>
      <c r="BK54" s="15">
        <f t="shared" si="32"/>
        <v>1</v>
      </c>
      <c r="BL54" s="15">
        <f t="shared" si="32"/>
        <v>1</v>
      </c>
      <c r="BM54" s="15">
        <f t="shared" si="32"/>
        <v>1</v>
      </c>
      <c r="BN54" s="15">
        <f t="shared" si="32"/>
        <v>1</v>
      </c>
      <c r="BO54" s="15">
        <f t="shared" si="32"/>
        <v>1</v>
      </c>
      <c r="BP54" s="15">
        <f t="shared" si="32"/>
        <v>1</v>
      </c>
      <c r="BQ54" s="15">
        <f t="shared" si="32"/>
        <v>1</v>
      </c>
      <c r="BR54" s="15">
        <f t="shared" ref="BR54:BY54" si="33" xml:space="preserve"> BR$43</f>
        <v>1</v>
      </c>
      <c r="BS54" s="15">
        <f t="shared" si="33"/>
        <v>0</v>
      </c>
      <c r="BT54" s="15">
        <f t="shared" si="33"/>
        <v>0</v>
      </c>
      <c r="BU54" s="15">
        <f t="shared" si="33"/>
        <v>0</v>
      </c>
      <c r="BV54" s="15">
        <f t="shared" si="33"/>
        <v>0</v>
      </c>
      <c r="BW54" s="15">
        <f t="shared" si="33"/>
        <v>0</v>
      </c>
      <c r="BX54" s="15">
        <f t="shared" si="33"/>
        <v>0</v>
      </c>
      <c r="BY54" s="15">
        <f t="shared" si="33"/>
        <v>0</v>
      </c>
    </row>
    <row r="55" spans="1:79" s="14" customFormat="1" x14ac:dyDescent="0.2">
      <c r="A55" s="5"/>
      <c r="B55" s="8"/>
      <c r="C55" s="72"/>
      <c r="D55" s="13"/>
      <c r="E55" s="15" t="s">
        <v>91</v>
      </c>
      <c r="F55" s="15"/>
      <c r="G55" s="15" t="s">
        <v>66</v>
      </c>
      <c r="H55" s="15"/>
      <c r="I55" s="15"/>
      <c r="J55" s="54" t="str">
        <f t="shared" ref="J55:BU55" si="34" xml:space="preserve"> IF(J53 = 1, "Pre-forecast", IF(J54 = 1, "Forecast", "Post-Frcst"))</f>
        <v>Pre-forecast</v>
      </c>
      <c r="K55" s="54" t="str">
        <f t="shared" si="34"/>
        <v>Forecast</v>
      </c>
      <c r="L55" s="54" t="str">
        <f t="shared" si="34"/>
        <v>Forecast</v>
      </c>
      <c r="M55" s="54" t="str">
        <f t="shared" si="34"/>
        <v>Forecast</v>
      </c>
      <c r="N55" s="54" t="str">
        <f t="shared" si="34"/>
        <v>Forecast</v>
      </c>
      <c r="O55" s="54" t="str">
        <f t="shared" si="34"/>
        <v>Forecast</v>
      </c>
      <c r="P55" s="54" t="str">
        <f t="shared" si="34"/>
        <v>Forecast</v>
      </c>
      <c r="Q55" s="54" t="str">
        <f t="shared" si="34"/>
        <v>Forecast</v>
      </c>
      <c r="R55" s="54" t="str">
        <f t="shared" si="34"/>
        <v>Forecast</v>
      </c>
      <c r="S55" s="54" t="str">
        <f t="shared" si="34"/>
        <v>Forecast</v>
      </c>
      <c r="T55" s="54" t="str">
        <f t="shared" si="34"/>
        <v>Forecast</v>
      </c>
      <c r="U55" s="54" t="str">
        <f t="shared" si="34"/>
        <v>Forecast</v>
      </c>
      <c r="V55" s="54" t="str">
        <f t="shared" si="34"/>
        <v>Forecast</v>
      </c>
      <c r="W55" s="54" t="str">
        <f t="shared" si="34"/>
        <v>Forecast</v>
      </c>
      <c r="X55" s="54" t="str">
        <f t="shared" si="34"/>
        <v>Forecast</v>
      </c>
      <c r="Y55" s="54" t="str">
        <f t="shared" si="34"/>
        <v>Forecast</v>
      </c>
      <c r="Z55" s="54" t="str">
        <f t="shared" si="34"/>
        <v>Forecast</v>
      </c>
      <c r="AA55" s="54" t="str">
        <f t="shared" si="34"/>
        <v>Forecast</v>
      </c>
      <c r="AB55" s="54" t="str">
        <f t="shared" si="34"/>
        <v>Forecast</v>
      </c>
      <c r="AC55" s="54" t="str">
        <f t="shared" si="34"/>
        <v>Forecast</v>
      </c>
      <c r="AD55" s="54" t="str">
        <f t="shared" si="34"/>
        <v>Forecast</v>
      </c>
      <c r="AE55" s="54" t="str">
        <f t="shared" si="34"/>
        <v>Forecast</v>
      </c>
      <c r="AF55" s="54" t="str">
        <f t="shared" si="34"/>
        <v>Forecast</v>
      </c>
      <c r="AG55" s="54" t="str">
        <f t="shared" si="34"/>
        <v>Forecast</v>
      </c>
      <c r="AH55" s="54" t="str">
        <f t="shared" si="34"/>
        <v>Forecast</v>
      </c>
      <c r="AI55" s="54" t="str">
        <f t="shared" si="34"/>
        <v>Forecast</v>
      </c>
      <c r="AJ55" s="54" t="str">
        <f t="shared" si="34"/>
        <v>Forecast</v>
      </c>
      <c r="AK55" s="54" t="str">
        <f t="shared" si="34"/>
        <v>Forecast</v>
      </c>
      <c r="AL55" s="54" t="str">
        <f t="shared" si="34"/>
        <v>Forecast</v>
      </c>
      <c r="AM55" s="54" t="str">
        <f t="shared" si="34"/>
        <v>Forecast</v>
      </c>
      <c r="AN55" s="54" t="str">
        <f t="shared" si="34"/>
        <v>Forecast</v>
      </c>
      <c r="AO55" s="54" t="str">
        <f t="shared" si="34"/>
        <v>Forecast</v>
      </c>
      <c r="AP55" s="54" t="str">
        <f t="shared" si="34"/>
        <v>Forecast</v>
      </c>
      <c r="AQ55" s="54" t="str">
        <f t="shared" si="34"/>
        <v>Forecast</v>
      </c>
      <c r="AR55" s="54" t="str">
        <f t="shared" si="34"/>
        <v>Forecast</v>
      </c>
      <c r="AS55" s="54" t="str">
        <f t="shared" si="34"/>
        <v>Forecast</v>
      </c>
      <c r="AT55" s="54" t="str">
        <f t="shared" si="34"/>
        <v>Forecast</v>
      </c>
      <c r="AU55" s="54" t="str">
        <f t="shared" si="34"/>
        <v>Forecast</v>
      </c>
      <c r="AV55" s="54" t="str">
        <f t="shared" si="34"/>
        <v>Forecast</v>
      </c>
      <c r="AW55" s="54" t="str">
        <f t="shared" si="34"/>
        <v>Forecast</v>
      </c>
      <c r="AX55" s="54" t="str">
        <f t="shared" si="34"/>
        <v>Forecast</v>
      </c>
      <c r="AY55" s="54" t="str">
        <f t="shared" si="34"/>
        <v>Forecast</v>
      </c>
      <c r="AZ55" s="54" t="str">
        <f t="shared" si="34"/>
        <v>Forecast</v>
      </c>
      <c r="BA55" s="54" t="str">
        <f t="shared" si="34"/>
        <v>Forecast</v>
      </c>
      <c r="BB55" s="54" t="str">
        <f t="shared" si="34"/>
        <v>Forecast</v>
      </c>
      <c r="BC55" s="54" t="str">
        <f t="shared" si="34"/>
        <v>Forecast</v>
      </c>
      <c r="BD55" s="54" t="str">
        <f t="shared" si="34"/>
        <v>Forecast</v>
      </c>
      <c r="BE55" s="54" t="str">
        <f t="shared" si="34"/>
        <v>Forecast</v>
      </c>
      <c r="BF55" s="54" t="str">
        <f t="shared" si="34"/>
        <v>Forecast</v>
      </c>
      <c r="BG55" s="54" t="str">
        <f t="shared" si="34"/>
        <v>Forecast</v>
      </c>
      <c r="BH55" s="54" t="str">
        <f t="shared" si="34"/>
        <v>Forecast</v>
      </c>
      <c r="BI55" s="54" t="str">
        <f t="shared" si="34"/>
        <v>Forecast</v>
      </c>
      <c r="BJ55" s="54" t="str">
        <f t="shared" si="34"/>
        <v>Forecast</v>
      </c>
      <c r="BK55" s="54" t="str">
        <f t="shared" si="34"/>
        <v>Forecast</v>
      </c>
      <c r="BL55" s="54" t="str">
        <f t="shared" si="34"/>
        <v>Forecast</v>
      </c>
      <c r="BM55" s="54" t="str">
        <f t="shared" si="34"/>
        <v>Forecast</v>
      </c>
      <c r="BN55" s="54" t="str">
        <f t="shared" si="34"/>
        <v>Forecast</v>
      </c>
      <c r="BO55" s="54" t="str">
        <f t="shared" si="34"/>
        <v>Forecast</v>
      </c>
      <c r="BP55" s="54" t="str">
        <f t="shared" si="34"/>
        <v>Forecast</v>
      </c>
      <c r="BQ55" s="54" t="str">
        <f t="shared" si="34"/>
        <v>Forecast</v>
      </c>
      <c r="BR55" s="54" t="str">
        <f t="shared" si="34"/>
        <v>Forecast</v>
      </c>
      <c r="BS55" s="54" t="str">
        <f t="shared" si="34"/>
        <v>Post-Frcst</v>
      </c>
      <c r="BT55" s="54" t="str">
        <f t="shared" si="34"/>
        <v>Post-Frcst</v>
      </c>
      <c r="BU55" s="54" t="str">
        <f t="shared" si="34"/>
        <v>Post-Frcst</v>
      </c>
      <c r="BV55" s="54" t="str">
        <f xml:space="preserve"> IF(BV53 = 1, "Pre-forecast", IF(BV54 = 1, "Forecast", "Post-Frcst"))</f>
        <v>Post-Frcst</v>
      </c>
      <c r="BW55" s="54" t="str">
        <f xml:space="preserve"> IF(BW53 = 1, "Pre-forecast", IF(BW54 = 1, "Forecast", "Post-Frcst"))</f>
        <v>Post-Frcst</v>
      </c>
      <c r="BX55" s="54" t="str">
        <f xml:space="preserve"> IF(BX53 = 1, "Pre-forecast", IF(BX54 = 1, "Forecast", "Post-Frcst"))</f>
        <v>Post-Frcst</v>
      </c>
      <c r="BY55" s="54" t="str">
        <f xml:space="preserve"> IF(BY53 = 1, "Pre-forecast", IF(BY54 = 1, "Forecast", "Post-Frcst"))</f>
        <v>Post-Frcst</v>
      </c>
    </row>
    <row r="58" spans="1:79" x14ac:dyDescent="0.2">
      <c r="A58" s="5" t="s">
        <v>72</v>
      </c>
    </row>
    <row r="60" spans="1:79" x14ac:dyDescent="0.2">
      <c r="E60" s="15" t="str">
        <f xml:space="preserve"> E$10</f>
        <v>First model column flag</v>
      </c>
      <c r="F60" s="15">
        <f t="shared" ref="F60:BQ60" si="35" xml:space="preserve"> F$10</f>
        <v>0</v>
      </c>
      <c r="G60" s="15" t="str">
        <f t="shared" si="35"/>
        <v>flag</v>
      </c>
      <c r="H60" s="15">
        <f t="shared" si="35"/>
        <v>1</v>
      </c>
      <c r="I60" s="15">
        <f t="shared" si="35"/>
        <v>0</v>
      </c>
      <c r="J60" s="15">
        <f t="shared" si="35"/>
        <v>1</v>
      </c>
      <c r="K60" s="15">
        <f t="shared" si="35"/>
        <v>0</v>
      </c>
      <c r="L60" s="15">
        <f t="shared" si="35"/>
        <v>0</v>
      </c>
      <c r="M60" s="15">
        <f t="shared" si="35"/>
        <v>0</v>
      </c>
      <c r="N60" s="15">
        <f t="shared" si="35"/>
        <v>0</v>
      </c>
      <c r="O60" s="15">
        <f t="shared" si="35"/>
        <v>0</v>
      </c>
      <c r="P60" s="15">
        <f t="shared" si="35"/>
        <v>0</v>
      </c>
      <c r="Q60" s="15">
        <f t="shared" si="35"/>
        <v>0</v>
      </c>
      <c r="R60" s="15">
        <f t="shared" si="35"/>
        <v>0</v>
      </c>
      <c r="S60" s="15">
        <f t="shared" si="35"/>
        <v>0</v>
      </c>
      <c r="T60" s="15">
        <f t="shared" si="35"/>
        <v>0</v>
      </c>
      <c r="U60" s="15">
        <f t="shared" si="35"/>
        <v>0</v>
      </c>
      <c r="V60" s="15">
        <f t="shared" si="35"/>
        <v>0</v>
      </c>
      <c r="W60" s="15">
        <f t="shared" si="35"/>
        <v>0</v>
      </c>
      <c r="X60" s="15">
        <f t="shared" si="35"/>
        <v>0</v>
      </c>
      <c r="Y60" s="15">
        <f t="shared" si="35"/>
        <v>0</v>
      </c>
      <c r="Z60" s="15">
        <f t="shared" si="35"/>
        <v>0</v>
      </c>
      <c r="AA60" s="15">
        <f t="shared" si="35"/>
        <v>0</v>
      </c>
      <c r="AB60" s="15">
        <f t="shared" si="35"/>
        <v>0</v>
      </c>
      <c r="AC60" s="15">
        <f t="shared" si="35"/>
        <v>0</v>
      </c>
      <c r="AD60" s="15">
        <f t="shared" si="35"/>
        <v>0</v>
      </c>
      <c r="AE60" s="15">
        <f t="shared" si="35"/>
        <v>0</v>
      </c>
      <c r="AF60" s="15">
        <f t="shared" si="35"/>
        <v>0</v>
      </c>
      <c r="AG60" s="15">
        <f t="shared" si="35"/>
        <v>0</v>
      </c>
      <c r="AH60" s="15">
        <f t="shared" si="35"/>
        <v>0</v>
      </c>
      <c r="AI60" s="15">
        <f t="shared" si="35"/>
        <v>0</v>
      </c>
      <c r="AJ60" s="15">
        <f t="shared" si="35"/>
        <v>0</v>
      </c>
      <c r="AK60" s="15">
        <f t="shared" si="35"/>
        <v>0</v>
      </c>
      <c r="AL60" s="15">
        <f t="shared" si="35"/>
        <v>0</v>
      </c>
      <c r="AM60" s="15">
        <f t="shared" si="35"/>
        <v>0</v>
      </c>
      <c r="AN60" s="15">
        <f t="shared" si="35"/>
        <v>0</v>
      </c>
      <c r="AO60" s="15">
        <f t="shared" si="35"/>
        <v>0</v>
      </c>
      <c r="AP60" s="15">
        <f t="shared" si="35"/>
        <v>0</v>
      </c>
      <c r="AQ60" s="15">
        <f t="shared" si="35"/>
        <v>0</v>
      </c>
      <c r="AR60" s="15">
        <f t="shared" si="35"/>
        <v>0</v>
      </c>
      <c r="AS60" s="15">
        <f t="shared" si="35"/>
        <v>0</v>
      </c>
      <c r="AT60" s="15">
        <f t="shared" si="35"/>
        <v>0</v>
      </c>
      <c r="AU60" s="15">
        <f t="shared" si="35"/>
        <v>0</v>
      </c>
      <c r="AV60" s="15">
        <f t="shared" si="35"/>
        <v>0</v>
      </c>
      <c r="AW60" s="15">
        <f t="shared" si="35"/>
        <v>0</v>
      </c>
      <c r="AX60" s="15">
        <f t="shared" si="35"/>
        <v>0</v>
      </c>
      <c r="AY60" s="15">
        <f t="shared" si="35"/>
        <v>0</v>
      </c>
      <c r="AZ60" s="15">
        <f t="shared" si="35"/>
        <v>0</v>
      </c>
      <c r="BA60" s="15">
        <f t="shared" si="35"/>
        <v>0</v>
      </c>
      <c r="BB60" s="15">
        <f t="shared" si="35"/>
        <v>0</v>
      </c>
      <c r="BC60" s="15">
        <f t="shared" si="35"/>
        <v>0</v>
      </c>
      <c r="BD60" s="15">
        <f t="shared" si="35"/>
        <v>0</v>
      </c>
      <c r="BE60" s="15">
        <f t="shared" si="35"/>
        <v>0</v>
      </c>
      <c r="BF60" s="15">
        <f t="shared" si="35"/>
        <v>0</v>
      </c>
      <c r="BG60" s="15">
        <f t="shared" si="35"/>
        <v>0</v>
      </c>
      <c r="BH60" s="15">
        <f t="shared" si="35"/>
        <v>0</v>
      </c>
      <c r="BI60" s="15">
        <f t="shared" si="35"/>
        <v>0</v>
      </c>
      <c r="BJ60" s="15">
        <f t="shared" si="35"/>
        <v>0</v>
      </c>
      <c r="BK60" s="15">
        <f t="shared" si="35"/>
        <v>0</v>
      </c>
      <c r="BL60" s="15">
        <f t="shared" si="35"/>
        <v>0</v>
      </c>
      <c r="BM60" s="15">
        <f t="shared" si="35"/>
        <v>0</v>
      </c>
      <c r="BN60" s="15">
        <f t="shared" si="35"/>
        <v>0</v>
      </c>
      <c r="BO60" s="15">
        <f t="shared" si="35"/>
        <v>0</v>
      </c>
      <c r="BP60" s="15">
        <f t="shared" si="35"/>
        <v>0</v>
      </c>
      <c r="BQ60" s="15">
        <f t="shared" si="35"/>
        <v>0</v>
      </c>
      <c r="BR60" s="15">
        <f t="shared" ref="BR60:BY60" si="36" xml:space="preserve"> BR$10</f>
        <v>0</v>
      </c>
      <c r="BS60" s="15">
        <f t="shared" si="36"/>
        <v>0</v>
      </c>
      <c r="BT60" s="15">
        <f t="shared" si="36"/>
        <v>0</v>
      </c>
      <c r="BU60" s="15">
        <f t="shared" si="36"/>
        <v>0</v>
      </c>
      <c r="BV60" s="15">
        <f t="shared" si="36"/>
        <v>0</v>
      </c>
      <c r="BW60" s="15">
        <f t="shared" si="36"/>
        <v>0</v>
      </c>
      <c r="BX60" s="15">
        <f t="shared" si="36"/>
        <v>0</v>
      </c>
      <c r="BY60" s="15">
        <f t="shared" si="36"/>
        <v>0</v>
      </c>
      <c r="BZ60" s="15">
        <f xml:space="preserve"> BZ$14</f>
        <v>0</v>
      </c>
      <c r="CA60" s="15">
        <f xml:space="preserve"> CA$14</f>
        <v>0</v>
      </c>
    </row>
    <row r="61" spans="1:79" s="84" customFormat="1" x14ac:dyDescent="0.2">
      <c r="A61" s="16"/>
      <c r="B61" s="16"/>
      <c r="C61" s="28"/>
      <c r="D61" s="83"/>
      <c r="E61" s="84" t="str">
        <f xml:space="preserve"> E$19</f>
        <v xml:space="preserve">Model period ending </v>
      </c>
      <c r="F61" s="84">
        <f t="shared" ref="F61:BQ61" si="37" xml:space="preserve"> F$19</f>
        <v>0</v>
      </c>
      <c r="G61" s="84" t="str">
        <f t="shared" si="37"/>
        <v>date</v>
      </c>
      <c r="H61" s="84">
        <f t="shared" si="37"/>
        <v>0</v>
      </c>
      <c r="I61" s="85">
        <f t="shared" si="37"/>
        <v>0</v>
      </c>
      <c r="J61" s="84">
        <f t="shared" si="37"/>
        <v>40694</v>
      </c>
      <c r="K61" s="84">
        <f t="shared" si="37"/>
        <v>40724</v>
      </c>
      <c r="L61" s="84">
        <f t="shared" si="37"/>
        <v>40755</v>
      </c>
      <c r="M61" s="84">
        <f t="shared" si="37"/>
        <v>40786</v>
      </c>
      <c r="N61" s="84">
        <f t="shared" si="37"/>
        <v>40816</v>
      </c>
      <c r="O61" s="84">
        <f t="shared" si="37"/>
        <v>40847</v>
      </c>
      <c r="P61" s="84">
        <f t="shared" si="37"/>
        <v>40877</v>
      </c>
      <c r="Q61" s="84">
        <f t="shared" si="37"/>
        <v>40908</v>
      </c>
      <c r="R61" s="84">
        <f t="shared" si="37"/>
        <v>40939</v>
      </c>
      <c r="S61" s="84">
        <f t="shared" si="37"/>
        <v>40968</v>
      </c>
      <c r="T61" s="84">
        <f t="shared" si="37"/>
        <v>40999</v>
      </c>
      <c r="U61" s="84">
        <f t="shared" si="37"/>
        <v>41029</v>
      </c>
      <c r="V61" s="84">
        <f t="shared" si="37"/>
        <v>41060</v>
      </c>
      <c r="W61" s="84">
        <f t="shared" si="37"/>
        <v>41090</v>
      </c>
      <c r="X61" s="84">
        <f t="shared" si="37"/>
        <v>41121</v>
      </c>
      <c r="Y61" s="84">
        <f t="shared" si="37"/>
        <v>41152</v>
      </c>
      <c r="Z61" s="84">
        <f t="shared" si="37"/>
        <v>41182</v>
      </c>
      <c r="AA61" s="84">
        <f t="shared" si="37"/>
        <v>41213</v>
      </c>
      <c r="AB61" s="84">
        <f t="shared" si="37"/>
        <v>41243</v>
      </c>
      <c r="AC61" s="84">
        <f t="shared" si="37"/>
        <v>41274</v>
      </c>
      <c r="AD61" s="84">
        <f t="shared" si="37"/>
        <v>41305</v>
      </c>
      <c r="AE61" s="84">
        <f t="shared" si="37"/>
        <v>41333</v>
      </c>
      <c r="AF61" s="84">
        <f t="shared" si="37"/>
        <v>41364</v>
      </c>
      <c r="AG61" s="84">
        <f t="shared" si="37"/>
        <v>41394</v>
      </c>
      <c r="AH61" s="84">
        <f t="shared" si="37"/>
        <v>41425</v>
      </c>
      <c r="AI61" s="84">
        <f t="shared" si="37"/>
        <v>41455</v>
      </c>
      <c r="AJ61" s="84">
        <f t="shared" si="37"/>
        <v>41486</v>
      </c>
      <c r="AK61" s="84">
        <f t="shared" si="37"/>
        <v>41517</v>
      </c>
      <c r="AL61" s="84">
        <f t="shared" si="37"/>
        <v>41547</v>
      </c>
      <c r="AM61" s="84">
        <f t="shared" si="37"/>
        <v>41578</v>
      </c>
      <c r="AN61" s="84">
        <f t="shared" si="37"/>
        <v>41608</v>
      </c>
      <c r="AO61" s="84">
        <f t="shared" si="37"/>
        <v>41639</v>
      </c>
      <c r="AP61" s="84">
        <f t="shared" si="37"/>
        <v>41670</v>
      </c>
      <c r="AQ61" s="84">
        <f t="shared" si="37"/>
        <v>41698</v>
      </c>
      <c r="AR61" s="84">
        <f t="shared" si="37"/>
        <v>41729</v>
      </c>
      <c r="AS61" s="84">
        <f t="shared" si="37"/>
        <v>41759</v>
      </c>
      <c r="AT61" s="84">
        <f t="shared" si="37"/>
        <v>41790</v>
      </c>
      <c r="AU61" s="84">
        <f t="shared" si="37"/>
        <v>41820</v>
      </c>
      <c r="AV61" s="84">
        <f t="shared" si="37"/>
        <v>41851</v>
      </c>
      <c r="AW61" s="84">
        <f t="shared" si="37"/>
        <v>41882</v>
      </c>
      <c r="AX61" s="84">
        <f t="shared" si="37"/>
        <v>41912</v>
      </c>
      <c r="AY61" s="84">
        <f t="shared" si="37"/>
        <v>41943</v>
      </c>
      <c r="AZ61" s="84">
        <f t="shared" si="37"/>
        <v>41973</v>
      </c>
      <c r="BA61" s="84">
        <f t="shared" si="37"/>
        <v>42004</v>
      </c>
      <c r="BB61" s="84">
        <f t="shared" si="37"/>
        <v>42035</v>
      </c>
      <c r="BC61" s="84">
        <f t="shared" si="37"/>
        <v>42063</v>
      </c>
      <c r="BD61" s="84">
        <f t="shared" si="37"/>
        <v>42094</v>
      </c>
      <c r="BE61" s="84">
        <f t="shared" si="37"/>
        <v>42124</v>
      </c>
      <c r="BF61" s="84">
        <f t="shared" si="37"/>
        <v>42155</v>
      </c>
      <c r="BG61" s="84">
        <f t="shared" si="37"/>
        <v>42185</v>
      </c>
      <c r="BH61" s="84">
        <f t="shared" si="37"/>
        <v>42216</v>
      </c>
      <c r="BI61" s="84">
        <f t="shared" si="37"/>
        <v>42247</v>
      </c>
      <c r="BJ61" s="84">
        <f t="shared" si="37"/>
        <v>42277</v>
      </c>
      <c r="BK61" s="84">
        <f t="shared" si="37"/>
        <v>42308</v>
      </c>
      <c r="BL61" s="84">
        <f t="shared" si="37"/>
        <v>42338</v>
      </c>
      <c r="BM61" s="84">
        <f t="shared" si="37"/>
        <v>42369</v>
      </c>
      <c r="BN61" s="84">
        <f t="shared" si="37"/>
        <v>42400</v>
      </c>
      <c r="BO61" s="84">
        <f t="shared" si="37"/>
        <v>42429</v>
      </c>
      <c r="BP61" s="84">
        <f t="shared" si="37"/>
        <v>42460</v>
      </c>
      <c r="BQ61" s="84">
        <f t="shared" si="37"/>
        <v>42490</v>
      </c>
      <c r="BR61" s="84">
        <f t="shared" ref="BR61:BY61" si="38" xml:space="preserve"> BR$19</f>
        <v>42521</v>
      </c>
      <c r="BS61" s="84">
        <f t="shared" si="38"/>
        <v>42551</v>
      </c>
      <c r="BT61" s="84">
        <f t="shared" si="38"/>
        <v>42582</v>
      </c>
      <c r="BU61" s="84">
        <f t="shared" si="38"/>
        <v>42613</v>
      </c>
      <c r="BV61" s="84">
        <f t="shared" si="38"/>
        <v>42643</v>
      </c>
      <c r="BW61" s="84">
        <f t="shared" si="38"/>
        <v>42674</v>
      </c>
      <c r="BX61" s="84">
        <f t="shared" si="38"/>
        <v>42704</v>
      </c>
      <c r="BY61" s="84">
        <f t="shared" si="38"/>
        <v>42735</v>
      </c>
    </row>
    <row r="62" spans="1:79" s="132" customFormat="1" x14ac:dyDescent="0.2">
      <c r="A62" s="129"/>
      <c r="B62" s="129"/>
      <c r="C62" s="130"/>
      <c r="D62" s="131"/>
      <c r="E62" s="132" t="s">
        <v>73</v>
      </c>
      <c r="G62" s="132" t="s">
        <v>32</v>
      </c>
      <c r="J62" s="132">
        <f xml:space="preserve"> IF(J60 = 1, 0, J61 - I61)</f>
        <v>0</v>
      </c>
      <c r="K62" s="132">
        <f t="shared" ref="K62:BV62" si="39" xml:space="preserve"> IF(K60 = 1, 0, K61 - J61)</f>
        <v>30</v>
      </c>
      <c r="L62" s="132">
        <f t="shared" si="39"/>
        <v>31</v>
      </c>
      <c r="M62" s="132">
        <f t="shared" si="39"/>
        <v>31</v>
      </c>
      <c r="N62" s="132">
        <f t="shared" si="39"/>
        <v>30</v>
      </c>
      <c r="O62" s="132">
        <f t="shared" si="39"/>
        <v>31</v>
      </c>
      <c r="P62" s="132">
        <f t="shared" si="39"/>
        <v>30</v>
      </c>
      <c r="Q62" s="132">
        <f t="shared" si="39"/>
        <v>31</v>
      </c>
      <c r="R62" s="132">
        <f t="shared" si="39"/>
        <v>31</v>
      </c>
      <c r="S62" s="132">
        <f t="shared" si="39"/>
        <v>29</v>
      </c>
      <c r="T62" s="132">
        <f t="shared" si="39"/>
        <v>31</v>
      </c>
      <c r="U62" s="132">
        <f t="shared" si="39"/>
        <v>30</v>
      </c>
      <c r="V62" s="132">
        <f t="shared" si="39"/>
        <v>31</v>
      </c>
      <c r="W62" s="132">
        <f t="shared" si="39"/>
        <v>30</v>
      </c>
      <c r="X62" s="132">
        <f t="shared" si="39"/>
        <v>31</v>
      </c>
      <c r="Y62" s="132">
        <f t="shared" si="39"/>
        <v>31</v>
      </c>
      <c r="Z62" s="132">
        <f t="shared" si="39"/>
        <v>30</v>
      </c>
      <c r="AA62" s="132">
        <f t="shared" si="39"/>
        <v>31</v>
      </c>
      <c r="AB62" s="132">
        <f t="shared" si="39"/>
        <v>30</v>
      </c>
      <c r="AC62" s="132">
        <f t="shared" si="39"/>
        <v>31</v>
      </c>
      <c r="AD62" s="132">
        <f t="shared" si="39"/>
        <v>31</v>
      </c>
      <c r="AE62" s="132">
        <f t="shared" si="39"/>
        <v>28</v>
      </c>
      <c r="AF62" s="132">
        <f t="shared" si="39"/>
        <v>31</v>
      </c>
      <c r="AG62" s="132">
        <f t="shared" si="39"/>
        <v>30</v>
      </c>
      <c r="AH62" s="132">
        <f t="shared" si="39"/>
        <v>31</v>
      </c>
      <c r="AI62" s="132">
        <f t="shared" si="39"/>
        <v>30</v>
      </c>
      <c r="AJ62" s="132">
        <f t="shared" si="39"/>
        <v>31</v>
      </c>
      <c r="AK62" s="132">
        <f t="shared" si="39"/>
        <v>31</v>
      </c>
      <c r="AL62" s="132">
        <f t="shared" si="39"/>
        <v>30</v>
      </c>
      <c r="AM62" s="132">
        <f t="shared" si="39"/>
        <v>31</v>
      </c>
      <c r="AN62" s="132">
        <f t="shared" si="39"/>
        <v>30</v>
      </c>
      <c r="AO62" s="132">
        <f t="shared" si="39"/>
        <v>31</v>
      </c>
      <c r="AP62" s="132">
        <f t="shared" si="39"/>
        <v>31</v>
      </c>
      <c r="AQ62" s="132">
        <f t="shared" si="39"/>
        <v>28</v>
      </c>
      <c r="AR62" s="132">
        <f t="shared" si="39"/>
        <v>31</v>
      </c>
      <c r="AS62" s="132">
        <f t="shared" si="39"/>
        <v>30</v>
      </c>
      <c r="AT62" s="132">
        <f t="shared" si="39"/>
        <v>31</v>
      </c>
      <c r="AU62" s="132">
        <f t="shared" si="39"/>
        <v>30</v>
      </c>
      <c r="AV62" s="132">
        <f t="shared" si="39"/>
        <v>31</v>
      </c>
      <c r="AW62" s="132">
        <f t="shared" si="39"/>
        <v>31</v>
      </c>
      <c r="AX62" s="132">
        <f t="shared" si="39"/>
        <v>30</v>
      </c>
      <c r="AY62" s="132">
        <f t="shared" si="39"/>
        <v>31</v>
      </c>
      <c r="AZ62" s="132">
        <f t="shared" si="39"/>
        <v>30</v>
      </c>
      <c r="BA62" s="132">
        <f t="shared" si="39"/>
        <v>31</v>
      </c>
      <c r="BB62" s="132">
        <f t="shared" si="39"/>
        <v>31</v>
      </c>
      <c r="BC62" s="132">
        <f t="shared" si="39"/>
        <v>28</v>
      </c>
      <c r="BD62" s="132">
        <f t="shared" si="39"/>
        <v>31</v>
      </c>
      <c r="BE62" s="132">
        <f t="shared" si="39"/>
        <v>30</v>
      </c>
      <c r="BF62" s="132">
        <f t="shared" si="39"/>
        <v>31</v>
      </c>
      <c r="BG62" s="132">
        <f t="shared" si="39"/>
        <v>30</v>
      </c>
      <c r="BH62" s="132">
        <f t="shared" si="39"/>
        <v>31</v>
      </c>
      <c r="BI62" s="132">
        <f t="shared" si="39"/>
        <v>31</v>
      </c>
      <c r="BJ62" s="132">
        <f t="shared" si="39"/>
        <v>30</v>
      </c>
      <c r="BK62" s="132">
        <f t="shared" si="39"/>
        <v>31</v>
      </c>
      <c r="BL62" s="132">
        <f t="shared" si="39"/>
        <v>30</v>
      </c>
      <c r="BM62" s="132">
        <f t="shared" si="39"/>
        <v>31</v>
      </c>
      <c r="BN62" s="132">
        <f t="shared" si="39"/>
        <v>31</v>
      </c>
      <c r="BO62" s="132">
        <f t="shared" si="39"/>
        <v>29</v>
      </c>
      <c r="BP62" s="132">
        <f t="shared" si="39"/>
        <v>31</v>
      </c>
      <c r="BQ62" s="132">
        <f t="shared" si="39"/>
        <v>30</v>
      </c>
      <c r="BR62" s="132">
        <f t="shared" si="39"/>
        <v>31</v>
      </c>
      <c r="BS62" s="132">
        <f t="shared" si="39"/>
        <v>30</v>
      </c>
      <c r="BT62" s="132">
        <f t="shared" si="39"/>
        <v>31</v>
      </c>
      <c r="BU62" s="132">
        <f t="shared" si="39"/>
        <v>31</v>
      </c>
      <c r="BV62" s="132">
        <f t="shared" si="39"/>
        <v>30</v>
      </c>
      <c r="BW62" s="132">
        <f xml:space="preserve"> IF(BW60 = 1, 0, BW61 - BV61)</f>
        <v>31</v>
      </c>
      <c r="BX62" s="132">
        <f xml:space="preserve"> IF(BX60 = 1, 0, BX61 - BW61)</f>
        <v>30</v>
      </c>
      <c r="BY62" s="132">
        <f xml:space="preserve"> IF(BY60 = 1, 0, BY61 - BX61)</f>
        <v>31</v>
      </c>
      <c r="BZ62" s="132">
        <f xml:space="preserve"> IF( BZ60 = 1, 0, BZ61 - BY61)</f>
        <v>-42735</v>
      </c>
      <c r="CA62" s="132">
        <f xml:space="preserve"> IF( CA60 = 1, 0, CA61 - BZ61)</f>
        <v>0</v>
      </c>
    </row>
    <row r="64" spans="1:79" s="84" customFormat="1" x14ac:dyDescent="0.2">
      <c r="A64" s="16"/>
      <c r="B64" s="16"/>
      <c r="C64" s="28"/>
      <c r="D64" s="83"/>
      <c r="E64" s="84" t="str">
        <f xml:space="preserve"> E$19</f>
        <v xml:space="preserve">Model period ending </v>
      </c>
      <c r="F64" s="84">
        <f t="shared" ref="F64:BQ64" si="40" xml:space="preserve"> F$19</f>
        <v>0</v>
      </c>
      <c r="G64" s="84" t="str">
        <f t="shared" si="40"/>
        <v>date</v>
      </c>
      <c r="H64" s="84">
        <f t="shared" si="40"/>
        <v>0</v>
      </c>
      <c r="I64" s="84">
        <f t="shared" si="40"/>
        <v>0</v>
      </c>
      <c r="J64" s="84">
        <f t="shared" si="40"/>
        <v>40694</v>
      </c>
      <c r="K64" s="84">
        <f t="shared" si="40"/>
        <v>40724</v>
      </c>
      <c r="L64" s="84">
        <f t="shared" si="40"/>
        <v>40755</v>
      </c>
      <c r="M64" s="84">
        <f t="shared" si="40"/>
        <v>40786</v>
      </c>
      <c r="N64" s="84">
        <f t="shared" si="40"/>
        <v>40816</v>
      </c>
      <c r="O64" s="84">
        <f t="shared" si="40"/>
        <v>40847</v>
      </c>
      <c r="P64" s="84">
        <f t="shared" si="40"/>
        <v>40877</v>
      </c>
      <c r="Q64" s="84">
        <f t="shared" si="40"/>
        <v>40908</v>
      </c>
      <c r="R64" s="84">
        <f t="shared" si="40"/>
        <v>40939</v>
      </c>
      <c r="S64" s="84">
        <f t="shared" si="40"/>
        <v>40968</v>
      </c>
      <c r="T64" s="84">
        <f t="shared" si="40"/>
        <v>40999</v>
      </c>
      <c r="U64" s="84">
        <f t="shared" si="40"/>
        <v>41029</v>
      </c>
      <c r="V64" s="84">
        <f t="shared" si="40"/>
        <v>41060</v>
      </c>
      <c r="W64" s="84">
        <f t="shared" si="40"/>
        <v>41090</v>
      </c>
      <c r="X64" s="84">
        <f t="shared" si="40"/>
        <v>41121</v>
      </c>
      <c r="Y64" s="84">
        <f t="shared" si="40"/>
        <v>41152</v>
      </c>
      <c r="Z64" s="84">
        <f t="shared" si="40"/>
        <v>41182</v>
      </c>
      <c r="AA64" s="84">
        <f t="shared" si="40"/>
        <v>41213</v>
      </c>
      <c r="AB64" s="84">
        <f t="shared" si="40"/>
        <v>41243</v>
      </c>
      <c r="AC64" s="84">
        <f t="shared" si="40"/>
        <v>41274</v>
      </c>
      <c r="AD64" s="84">
        <f t="shared" si="40"/>
        <v>41305</v>
      </c>
      <c r="AE64" s="84">
        <f t="shared" si="40"/>
        <v>41333</v>
      </c>
      <c r="AF64" s="84">
        <f t="shared" si="40"/>
        <v>41364</v>
      </c>
      <c r="AG64" s="84">
        <f t="shared" si="40"/>
        <v>41394</v>
      </c>
      <c r="AH64" s="84">
        <f t="shared" si="40"/>
        <v>41425</v>
      </c>
      <c r="AI64" s="84">
        <f t="shared" si="40"/>
        <v>41455</v>
      </c>
      <c r="AJ64" s="84">
        <f t="shared" si="40"/>
        <v>41486</v>
      </c>
      <c r="AK64" s="84">
        <f t="shared" si="40"/>
        <v>41517</v>
      </c>
      <c r="AL64" s="84">
        <f t="shared" si="40"/>
        <v>41547</v>
      </c>
      <c r="AM64" s="84">
        <f t="shared" si="40"/>
        <v>41578</v>
      </c>
      <c r="AN64" s="84">
        <f t="shared" si="40"/>
        <v>41608</v>
      </c>
      <c r="AO64" s="84">
        <f t="shared" si="40"/>
        <v>41639</v>
      </c>
      <c r="AP64" s="84">
        <f t="shared" si="40"/>
        <v>41670</v>
      </c>
      <c r="AQ64" s="84">
        <f t="shared" si="40"/>
        <v>41698</v>
      </c>
      <c r="AR64" s="84">
        <f t="shared" si="40"/>
        <v>41729</v>
      </c>
      <c r="AS64" s="84">
        <f t="shared" si="40"/>
        <v>41759</v>
      </c>
      <c r="AT64" s="84">
        <f t="shared" si="40"/>
        <v>41790</v>
      </c>
      <c r="AU64" s="84">
        <f t="shared" si="40"/>
        <v>41820</v>
      </c>
      <c r="AV64" s="84">
        <f t="shared" si="40"/>
        <v>41851</v>
      </c>
      <c r="AW64" s="84">
        <f t="shared" si="40"/>
        <v>41882</v>
      </c>
      <c r="AX64" s="84">
        <f t="shared" si="40"/>
        <v>41912</v>
      </c>
      <c r="AY64" s="84">
        <f t="shared" si="40"/>
        <v>41943</v>
      </c>
      <c r="AZ64" s="84">
        <f t="shared" si="40"/>
        <v>41973</v>
      </c>
      <c r="BA64" s="84">
        <f t="shared" si="40"/>
        <v>42004</v>
      </c>
      <c r="BB64" s="84">
        <f t="shared" si="40"/>
        <v>42035</v>
      </c>
      <c r="BC64" s="84">
        <f t="shared" si="40"/>
        <v>42063</v>
      </c>
      <c r="BD64" s="84">
        <f t="shared" si="40"/>
        <v>42094</v>
      </c>
      <c r="BE64" s="84">
        <f t="shared" si="40"/>
        <v>42124</v>
      </c>
      <c r="BF64" s="84">
        <f t="shared" si="40"/>
        <v>42155</v>
      </c>
      <c r="BG64" s="84">
        <f t="shared" si="40"/>
        <v>42185</v>
      </c>
      <c r="BH64" s="84">
        <f t="shared" si="40"/>
        <v>42216</v>
      </c>
      <c r="BI64" s="84">
        <f t="shared" si="40"/>
        <v>42247</v>
      </c>
      <c r="BJ64" s="84">
        <f t="shared" si="40"/>
        <v>42277</v>
      </c>
      <c r="BK64" s="84">
        <f t="shared" si="40"/>
        <v>42308</v>
      </c>
      <c r="BL64" s="84">
        <f t="shared" si="40"/>
        <v>42338</v>
      </c>
      <c r="BM64" s="84">
        <f t="shared" si="40"/>
        <v>42369</v>
      </c>
      <c r="BN64" s="84">
        <f t="shared" si="40"/>
        <v>42400</v>
      </c>
      <c r="BO64" s="84">
        <f t="shared" si="40"/>
        <v>42429</v>
      </c>
      <c r="BP64" s="84">
        <f t="shared" si="40"/>
        <v>42460</v>
      </c>
      <c r="BQ64" s="84">
        <f t="shared" si="40"/>
        <v>42490</v>
      </c>
      <c r="BR64" s="84">
        <f t="shared" ref="BR64:BY64" si="41" xml:space="preserve"> BR$19</f>
        <v>42521</v>
      </c>
      <c r="BS64" s="84">
        <f t="shared" si="41"/>
        <v>42551</v>
      </c>
      <c r="BT64" s="84">
        <f t="shared" si="41"/>
        <v>42582</v>
      </c>
      <c r="BU64" s="84">
        <f t="shared" si="41"/>
        <v>42613</v>
      </c>
      <c r="BV64" s="84">
        <f t="shared" si="41"/>
        <v>42643</v>
      </c>
      <c r="BW64" s="84">
        <f t="shared" si="41"/>
        <v>42674</v>
      </c>
      <c r="BX64" s="84">
        <f t="shared" si="41"/>
        <v>42704</v>
      </c>
      <c r="BY64" s="84">
        <f t="shared" si="41"/>
        <v>42735</v>
      </c>
    </row>
    <row r="65" spans="1:77" s="132" customFormat="1" x14ac:dyDescent="0.2">
      <c r="A65" s="129"/>
      <c r="B65" s="129"/>
      <c r="C65" s="130"/>
      <c r="D65" s="131"/>
      <c r="E65" s="132" t="s">
        <v>60</v>
      </c>
      <c r="G65" s="132" t="s">
        <v>68</v>
      </c>
      <c r="J65" s="132">
        <f xml:space="preserve"> MONTH(J64)</f>
        <v>5</v>
      </c>
      <c r="K65" s="132">
        <f t="shared" ref="K65:BV65" si="42" xml:space="preserve"> MONTH(K64)</f>
        <v>6</v>
      </c>
      <c r="L65" s="132">
        <f t="shared" si="42"/>
        <v>7</v>
      </c>
      <c r="M65" s="132">
        <f t="shared" si="42"/>
        <v>8</v>
      </c>
      <c r="N65" s="132">
        <f t="shared" si="42"/>
        <v>9</v>
      </c>
      <c r="O65" s="132">
        <f t="shared" si="42"/>
        <v>10</v>
      </c>
      <c r="P65" s="132">
        <f t="shared" si="42"/>
        <v>11</v>
      </c>
      <c r="Q65" s="132">
        <f t="shared" si="42"/>
        <v>12</v>
      </c>
      <c r="R65" s="132">
        <f t="shared" si="42"/>
        <v>1</v>
      </c>
      <c r="S65" s="132">
        <f t="shared" si="42"/>
        <v>2</v>
      </c>
      <c r="T65" s="132">
        <f t="shared" si="42"/>
        <v>3</v>
      </c>
      <c r="U65" s="132">
        <f t="shared" si="42"/>
        <v>4</v>
      </c>
      <c r="V65" s="132">
        <f t="shared" si="42"/>
        <v>5</v>
      </c>
      <c r="W65" s="132">
        <f t="shared" si="42"/>
        <v>6</v>
      </c>
      <c r="X65" s="132">
        <f t="shared" si="42"/>
        <v>7</v>
      </c>
      <c r="Y65" s="132">
        <f t="shared" si="42"/>
        <v>8</v>
      </c>
      <c r="Z65" s="132">
        <f t="shared" si="42"/>
        <v>9</v>
      </c>
      <c r="AA65" s="132">
        <f t="shared" si="42"/>
        <v>10</v>
      </c>
      <c r="AB65" s="132">
        <f t="shared" si="42"/>
        <v>11</v>
      </c>
      <c r="AC65" s="132">
        <f t="shared" si="42"/>
        <v>12</v>
      </c>
      <c r="AD65" s="132">
        <f t="shared" si="42"/>
        <v>1</v>
      </c>
      <c r="AE65" s="132">
        <f t="shared" si="42"/>
        <v>2</v>
      </c>
      <c r="AF65" s="132">
        <f t="shared" si="42"/>
        <v>3</v>
      </c>
      <c r="AG65" s="132">
        <f t="shared" si="42"/>
        <v>4</v>
      </c>
      <c r="AH65" s="132">
        <f t="shared" si="42"/>
        <v>5</v>
      </c>
      <c r="AI65" s="132">
        <f t="shared" si="42"/>
        <v>6</v>
      </c>
      <c r="AJ65" s="132">
        <f t="shared" si="42"/>
        <v>7</v>
      </c>
      <c r="AK65" s="132">
        <f t="shared" si="42"/>
        <v>8</v>
      </c>
      <c r="AL65" s="132">
        <f t="shared" si="42"/>
        <v>9</v>
      </c>
      <c r="AM65" s="132">
        <f t="shared" si="42"/>
        <v>10</v>
      </c>
      <c r="AN65" s="132">
        <f t="shared" si="42"/>
        <v>11</v>
      </c>
      <c r="AO65" s="132">
        <f t="shared" si="42"/>
        <v>12</v>
      </c>
      <c r="AP65" s="132">
        <f t="shared" si="42"/>
        <v>1</v>
      </c>
      <c r="AQ65" s="132">
        <f t="shared" si="42"/>
        <v>2</v>
      </c>
      <c r="AR65" s="132">
        <f t="shared" si="42"/>
        <v>3</v>
      </c>
      <c r="AS65" s="132">
        <f t="shared" si="42"/>
        <v>4</v>
      </c>
      <c r="AT65" s="132">
        <f t="shared" si="42"/>
        <v>5</v>
      </c>
      <c r="AU65" s="132">
        <f t="shared" si="42"/>
        <v>6</v>
      </c>
      <c r="AV65" s="132">
        <f t="shared" si="42"/>
        <v>7</v>
      </c>
      <c r="AW65" s="132">
        <f t="shared" si="42"/>
        <v>8</v>
      </c>
      <c r="AX65" s="132">
        <f t="shared" si="42"/>
        <v>9</v>
      </c>
      <c r="AY65" s="132">
        <f t="shared" si="42"/>
        <v>10</v>
      </c>
      <c r="AZ65" s="132">
        <f t="shared" si="42"/>
        <v>11</v>
      </c>
      <c r="BA65" s="132">
        <f t="shared" si="42"/>
        <v>12</v>
      </c>
      <c r="BB65" s="132">
        <f t="shared" si="42"/>
        <v>1</v>
      </c>
      <c r="BC65" s="132">
        <f t="shared" si="42"/>
        <v>2</v>
      </c>
      <c r="BD65" s="132">
        <f t="shared" si="42"/>
        <v>3</v>
      </c>
      <c r="BE65" s="132">
        <f t="shared" si="42"/>
        <v>4</v>
      </c>
      <c r="BF65" s="132">
        <f t="shared" si="42"/>
        <v>5</v>
      </c>
      <c r="BG65" s="132">
        <f t="shared" si="42"/>
        <v>6</v>
      </c>
      <c r="BH65" s="132">
        <f t="shared" si="42"/>
        <v>7</v>
      </c>
      <c r="BI65" s="132">
        <f t="shared" si="42"/>
        <v>8</v>
      </c>
      <c r="BJ65" s="132">
        <f t="shared" si="42"/>
        <v>9</v>
      </c>
      <c r="BK65" s="132">
        <f t="shared" si="42"/>
        <v>10</v>
      </c>
      <c r="BL65" s="132">
        <f t="shared" si="42"/>
        <v>11</v>
      </c>
      <c r="BM65" s="132">
        <f t="shared" si="42"/>
        <v>12</v>
      </c>
      <c r="BN65" s="132">
        <f t="shared" si="42"/>
        <v>1</v>
      </c>
      <c r="BO65" s="132">
        <f t="shared" si="42"/>
        <v>2</v>
      </c>
      <c r="BP65" s="132">
        <f t="shared" si="42"/>
        <v>3</v>
      </c>
      <c r="BQ65" s="132">
        <f t="shared" si="42"/>
        <v>4</v>
      </c>
      <c r="BR65" s="132">
        <f t="shared" si="42"/>
        <v>5</v>
      </c>
      <c r="BS65" s="132">
        <f t="shared" si="42"/>
        <v>6</v>
      </c>
      <c r="BT65" s="132">
        <f t="shared" si="42"/>
        <v>7</v>
      </c>
      <c r="BU65" s="132">
        <f t="shared" si="42"/>
        <v>8</v>
      </c>
      <c r="BV65" s="132">
        <f t="shared" si="42"/>
        <v>9</v>
      </c>
      <c r="BW65" s="132">
        <f xml:space="preserve"> MONTH(BW64)</f>
        <v>10</v>
      </c>
      <c r="BX65" s="132">
        <f xml:space="preserve"> MONTH(BX64)</f>
        <v>11</v>
      </c>
      <c r="BY65" s="132">
        <f xml:space="preserve"> MONTH(BY64)</f>
        <v>12</v>
      </c>
    </row>
  </sheetData>
  <phoneticPr fontId="2" type="noConversion"/>
  <conditionalFormatting sqref="J3:BY3">
    <cfRule type="cellIs" dxfId="17" priority="5" stopIfTrue="1" operator="equal">
      <formula>"Pre-forecast"</formula>
    </cfRule>
    <cfRule type="cellIs" dxfId="16" priority="6" stopIfTrue="1" operator="equal">
      <formula>"Forecast"</formula>
    </cfRule>
  </conditionalFormatting>
  <conditionalFormatting sqref="F3:F4">
    <cfRule type="cellIs" dxfId="15" priority="1" stopIfTrue="1" operator="notEqual">
      <formula>0</formula>
    </cfRule>
    <cfRule type="cellIs" dxfId="14" priority="2" stopIfTrue="1" operator="equal">
      <formula>""</formula>
    </cfRule>
  </conditionalFormatting>
  <conditionalFormatting sqref="F2">
    <cfRule type="cellIs" dxfId="13" priority="3" stopIfTrue="1" operator="notEqual">
      <formula>0</formula>
    </cfRule>
    <cfRule type="cellIs" dxfId="12" priority="4" stopIfTrue="1" operator="equal">
      <formula>""</formula>
    </cfRule>
  </conditionalFormatting>
  <printOptions verticalCentered="1" headings="1"/>
  <pageMargins left="0.74803149606299213" right="0.74803149606299213" top="0.98425196850393704" bottom="0.98425196850393704" header="0.51181102362204722" footer="0.51181102362204722"/>
  <pageSetup paperSize="9" scale="55" orientation="landscape" blackAndWhite="1" r:id="rId1"/>
  <headerFooter alignWithMargins="0">
    <oddHeader>&amp;L&amp;"Arial,Bold"&amp;14PROJECT BIOMASS&amp;C&amp;"Arial,Bold"&amp;14Sheet: &amp;A&amp;R&amp;"Arial,Bold"&amp;14STRICTLY CONFIDENTIAL</oddHeader>
    <oddFooter>&amp;L&amp;F ( Printed on &amp;D at &amp;T )&amp;RPage &amp;P</oddFooter>
  </headerFooter>
  <rowBreaks count="1" manualBreakCount="1">
    <brk id="49" max="76" man="1"/>
  </rowBreaks>
  <customProperties>
    <customPr name="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CC73"/>
  <sheetViews>
    <sheetView defaultGridColor="0" colorId="22" zoomScale="80" zoomScaleNormal="80" workbookViewId="0">
      <pane xSplit="9" ySplit="5" topLeftCell="J6" activePane="bottomRight" state="frozen"/>
      <selection activeCell="L30" sqref="L30"/>
      <selection pane="topRight" activeCell="L30" sqref="L30"/>
      <selection pane="bottomLeft" activeCell="L30" sqref="L30"/>
      <selection pane="bottomRight" activeCell="J6" sqref="J6"/>
    </sheetView>
  </sheetViews>
  <sheetFormatPr defaultColWidth="0" defaultRowHeight="12.75" x14ac:dyDescent="0.2"/>
  <cols>
    <col min="1" max="1" width="1.28515625" style="10" customWidth="1"/>
    <col min="2" max="2" width="1.28515625" style="5" customWidth="1"/>
    <col min="3" max="3" width="1.28515625" style="12" customWidth="1"/>
    <col min="4" max="4" width="1.28515625" style="38" customWidth="1"/>
    <col min="5" max="5" width="40.7109375" style="2" customWidth="1"/>
    <col min="6" max="6" width="12.7109375" style="2" customWidth="1"/>
    <col min="7" max="8" width="11.7109375" style="2" customWidth="1"/>
    <col min="9" max="9" width="2.7109375" style="2" customWidth="1"/>
    <col min="10" max="77" width="11.7109375" style="2" customWidth="1"/>
    <col min="78" max="16384" width="0" style="2" hidden="1"/>
  </cols>
  <sheetData>
    <row r="1" spans="1:77" s="113" customFormat="1" ht="26.25" x14ac:dyDescent="0.2">
      <c r="A1" s="82" t="str">
        <f ca="1" xml:space="preserve"> RIGHT(CELL("filename", A1), LEN(CELL("filename", A1)) - SEARCH("]", CELL("filename", A1)))</f>
        <v>EfW</v>
      </c>
      <c r="B1" s="143"/>
      <c r="C1" s="72"/>
      <c r="D1" s="157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56"/>
    </row>
    <row r="2" spans="1:77" s="68" customFormat="1" x14ac:dyDescent="0.2">
      <c r="B2" s="69"/>
      <c r="C2" s="111"/>
      <c r="D2" s="100"/>
      <c r="E2" s="71" t="str">
        <f xml:space="preserve"> Time!E$19</f>
        <v xml:space="preserve">Model period ending </v>
      </c>
      <c r="F2" s="159"/>
      <c r="G2" s="160" t="s">
        <v>92</v>
      </c>
      <c r="H2" s="61"/>
      <c r="J2" s="68">
        <f xml:space="preserve"> Time!J$19</f>
        <v>40694</v>
      </c>
      <c r="K2" s="68">
        <f xml:space="preserve"> Time!K$19</f>
        <v>40724</v>
      </c>
      <c r="L2" s="68">
        <f xml:space="preserve"> Time!L$19</f>
        <v>40755</v>
      </c>
      <c r="M2" s="68">
        <f xml:space="preserve"> Time!M$19</f>
        <v>40786</v>
      </c>
      <c r="N2" s="68">
        <f xml:space="preserve"> Time!N$19</f>
        <v>40816</v>
      </c>
      <c r="O2" s="68">
        <f xml:space="preserve"> Time!O$19</f>
        <v>40847</v>
      </c>
      <c r="P2" s="68">
        <f xml:space="preserve"> Time!P$19</f>
        <v>40877</v>
      </c>
      <c r="Q2" s="68">
        <f xml:space="preserve"> Time!Q$19</f>
        <v>40908</v>
      </c>
      <c r="R2" s="68">
        <f xml:space="preserve"> Time!R$19</f>
        <v>40939</v>
      </c>
      <c r="S2" s="68">
        <f xml:space="preserve"> Time!S$19</f>
        <v>40968</v>
      </c>
      <c r="T2" s="68">
        <f xml:space="preserve"> Time!T$19</f>
        <v>40999</v>
      </c>
      <c r="U2" s="68">
        <f xml:space="preserve"> Time!U$19</f>
        <v>41029</v>
      </c>
      <c r="V2" s="68">
        <f xml:space="preserve"> Time!V$19</f>
        <v>41060</v>
      </c>
      <c r="W2" s="68">
        <f xml:space="preserve"> Time!W$19</f>
        <v>41090</v>
      </c>
      <c r="X2" s="68">
        <f xml:space="preserve"> Time!X$19</f>
        <v>41121</v>
      </c>
      <c r="Y2" s="68">
        <f xml:space="preserve"> Time!Y$19</f>
        <v>41152</v>
      </c>
      <c r="Z2" s="68">
        <f xml:space="preserve"> Time!Z$19</f>
        <v>41182</v>
      </c>
      <c r="AA2" s="68">
        <f xml:space="preserve"> Time!AA$19</f>
        <v>41213</v>
      </c>
      <c r="AB2" s="68">
        <f xml:space="preserve"> Time!AB$19</f>
        <v>41243</v>
      </c>
      <c r="AC2" s="68">
        <f xml:space="preserve"> Time!AC$19</f>
        <v>41274</v>
      </c>
      <c r="AD2" s="68">
        <f xml:space="preserve"> Time!AD$19</f>
        <v>41305</v>
      </c>
      <c r="AE2" s="68">
        <f xml:space="preserve"> Time!AE$19</f>
        <v>41333</v>
      </c>
      <c r="AF2" s="68">
        <f xml:space="preserve"> Time!AF$19</f>
        <v>41364</v>
      </c>
      <c r="AG2" s="68">
        <f xml:space="preserve"> Time!AG$19</f>
        <v>41394</v>
      </c>
      <c r="AH2" s="68">
        <f xml:space="preserve"> Time!AH$19</f>
        <v>41425</v>
      </c>
      <c r="AI2" s="68">
        <f xml:space="preserve"> Time!AI$19</f>
        <v>41455</v>
      </c>
      <c r="AJ2" s="68">
        <f xml:space="preserve"> Time!AJ$19</f>
        <v>41486</v>
      </c>
      <c r="AK2" s="68">
        <f xml:space="preserve"> Time!AK$19</f>
        <v>41517</v>
      </c>
      <c r="AL2" s="68">
        <f xml:space="preserve"> Time!AL$19</f>
        <v>41547</v>
      </c>
      <c r="AM2" s="68">
        <f xml:space="preserve"> Time!AM$19</f>
        <v>41578</v>
      </c>
      <c r="AN2" s="68">
        <f xml:space="preserve"> Time!AN$19</f>
        <v>41608</v>
      </c>
      <c r="AO2" s="68">
        <f xml:space="preserve"> Time!AO$19</f>
        <v>41639</v>
      </c>
      <c r="AP2" s="68">
        <f xml:space="preserve"> Time!AP$19</f>
        <v>41670</v>
      </c>
      <c r="AQ2" s="68">
        <f xml:space="preserve"> Time!AQ$19</f>
        <v>41698</v>
      </c>
      <c r="AR2" s="68">
        <f xml:space="preserve"> Time!AR$19</f>
        <v>41729</v>
      </c>
      <c r="AS2" s="68">
        <f xml:space="preserve"> Time!AS$19</f>
        <v>41759</v>
      </c>
      <c r="AT2" s="68">
        <f xml:space="preserve"> Time!AT$19</f>
        <v>41790</v>
      </c>
      <c r="AU2" s="68">
        <f xml:space="preserve"> Time!AU$19</f>
        <v>41820</v>
      </c>
      <c r="AV2" s="68">
        <f xml:space="preserve"> Time!AV$19</f>
        <v>41851</v>
      </c>
      <c r="AW2" s="68">
        <f xml:space="preserve"> Time!AW$19</f>
        <v>41882</v>
      </c>
      <c r="AX2" s="68">
        <f xml:space="preserve"> Time!AX$19</f>
        <v>41912</v>
      </c>
      <c r="AY2" s="68">
        <f xml:space="preserve"> Time!AY$19</f>
        <v>41943</v>
      </c>
      <c r="AZ2" s="68">
        <f xml:space="preserve"> Time!AZ$19</f>
        <v>41973</v>
      </c>
      <c r="BA2" s="68">
        <f xml:space="preserve"> Time!BA$19</f>
        <v>42004</v>
      </c>
      <c r="BB2" s="68">
        <f xml:space="preserve"> Time!BB$19</f>
        <v>42035</v>
      </c>
      <c r="BC2" s="68">
        <f xml:space="preserve"> Time!BC$19</f>
        <v>42063</v>
      </c>
      <c r="BD2" s="68">
        <f xml:space="preserve"> Time!BD$19</f>
        <v>42094</v>
      </c>
      <c r="BE2" s="68">
        <f xml:space="preserve"> Time!BE$19</f>
        <v>42124</v>
      </c>
      <c r="BF2" s="68">
        <f xml:space="preserve"> Time!BF$19</f>
        <v>42155</v>
      </c>
      <c r="BG2" s="68">
        <f xml:space="preserve"> Time!BG$19</f>
        <v>42185</v>
      </c>
      <c r="BH2" s="68">
        <f xml:space="preserve"> Time!BH$19</f>
        <v>42216</v>
      </c>
      <c r="BI2" s="68">
        <f xml:space="preserve"> Time!BI$19</f>
        <v>42247</v>
      </c>
      <c r="BJ2" s="68">
        <f xml:space="preserve"> Time!BJ$19</f>
        <v>42277</v>
      </c>
      <c r="BK2" s="68">
        <f xml:space="preserve"> Time!BK$19</f>
        <v>42308</v>
      </c>
      <c r="BL2" s="68">
        <f xml:space="preserve"> Time!BL$19</f>
        <v>42338</v>
      </c>
      <c r="BM2" s="68">
        <f xml:space="preserve"> Time!BM$19</f>
        <v>42369</v>
      </c>
      <c r="BN2" s="68">
        <f xml:space="preserve"> Time!BN$19</f>
        <v>42400</v>
      </c>
      <c r="BO2" s="68">
        <f xml:space="preserve"> Time!BO$19</f>
        <v>42429</v>
      </c>
      <c r="BP2" s="68">
        <f xml:space="preserve"> Time!BP$19</f>
        <v>42460</v>
      </c>
      <c r="BQ2" s="68">
        <f xml:space="preserve"> Time!BQ$19</f>
        <v>42490</v>
      </c>
      <c r="BR2" s="68">
        <f xml:space="preserve"> Time!BR$19</f>
        <v>42521</v>
      </c>
      <c r="BS2" s="68">
        <f xml:space="preserve"> Time!BS$19</f>
        <v>42551</v>
      </c>
      <c r="BT2" s="68">
        <f xml:space="preserve"> Time!BT$19</f>
        <v>42582</v>
      </c>
      <c r="BU2" s="68">
        <f xml:space="preserve"> Time!BU$19</f>
        <v>42613</v>
      </c>
      <c r="BV2" s="68">
        <f xml:space="preserve"> Time!BV$19</f>
        <v>42643</v>
      </c>
      <c r="BW2" s="68">
        <f xml:space="preserve"> Time!BW$19</f>
        <v>42674</v>
      </c>
      <c r="BX2" s="68">
        <f xml:space="preserve"> Time!BX$19</f>
        <v>42704</v>
      </c>
      <c r="BY2" s="68">
        <f xml:space="preserve"> Time!BY$19</f>
        <v>42735</v>
      </c>
    </row>
    <row r="3" spans="1:77" s="7" customFormat="1" x14ac:dyDescent="0.2">
      <c r="A3" s="10"/>
      <c r="B3" s="5"/>
      <c r="C3" s="72"/>
      <c r="D3" s="6"/>
      <c r="E3" s="7" t="str">
        <f ca="1" xml:space="preserve"> Time!E$55</f>
        <v>Pre-forecast Vs forecast</v>
      </c>
      <c r="F3" s="161"/>
      <c r="G3" s="162" t="s">
        <v>93</v>
      </c>
      <c r="H3" s="61"/>
      <c r="J3" s="158" t="str">
        <f xml:space="preserve"> Time!J$55</f>
        <v>Pre-forecast</v>
      </c>
      <c r="K3" s="158" t="str">
        <f xml:space="preserve"> Time!K$55</f>
        <v>Forecast</v>
      </c>
      <c r="L3" s="158" t="str">
        <f xml:space="preserve"> Time!L$55</f>
        <v>Forecast</v>
      </c>
      <c r="M3" s="158" t="str">
        <f xml:space="preserve"> Time!M$55</f>
        <v>Forecast</v>
      </c>
      <c r="N3" s="158" t="str">
        <f xml:space="preserve"> Time!N$55</f>
        <v>Forecast</v>
      </c>
      <c r="O3" s="158" t="str">
        <f xml:space="preserve"> Time!O$55</f>
        <v>Forecast</v>
      </c>
      <c r="P3" s="158" t="str">
        <f xml:space="preserve"> Time!P$55</f>
        <v>Forecast</v>
      </c>
      <c r="Q3" s="158" t="str">
        <f xml:space="preserve"> Time!Q$55</f>
        <v>Forecast</v>
      </c>
      <c r="R3" s="158" t="str">
        <f xml:space="preserve"> Time!R$55</f>
        <v>Forecast</v>
      </c>
      <c r="S3" s="158" t="str">
        <f xml:space="preserve"> Time!S$55</f>
        <v>Forecast</v>
      </c>
      <c r="T3" s="158" t="str">
        <f xml:space="preserve"> Time!T$55</f>
        <v>Forecast</v>
      </c>
      <c r="U3" s="158" t="str">
        <f xml:space="preserve"> Time!U$55</f>
        <v>Forecast</v>
      </c>
      <c r="V3" s="158" t="str">
        <f xml:space="preserve"> Time!V$55</f>
        <v>Forecast</v>
      </c>
      <c r="W3" s="158" t="str">
        <f xml:space="preserve"> Time!W$55</f>
        <v>Forecast</v>
      </c>
      <c r="X3" s="158" t="str">
        <f xml:space="preserve"> Time!X$55</f>
        <v>Forecast</v>
      </c>
      <c r="Y3" s="158" t="str">
        <f xml:space="preserve"> Time!Y$55</f>
        <v>Forecast</v>
      </c>
      <c r="Z3" s="158" t="str">
        <f xml:space="preserve"> Time!Z$55</f>
        <v>Forecast</v>
      </c>
      <c r="AA3" s="158" t="str">
        <f xml:space="preserve"> Time!AA$55</f>
        <v>Forecast</v>
      </c>
      <c r="AB3" s="158" t="str">
        <f xml:space="preserve"> Time!AB$55</f>
        <v>Forecast</v>
      </c>
      <c r="AC3" s="158" t="str">
        <f xml:space="preserve"> Time!AC$55</f>
        <v>Forecast</v>
      </c>
      <c r="AD3" s="158" t="str">
        <f xml:space="preserve"> Time!AD$55</f>
        <v>Forecast</v>
      </c>
      <c r="AE3" s="158" t="str">
        <f xml:space="preserve"> Time!AE$55</f>
        <v>Forecast</v>
      </c>
      <c r="AF3" s="158" t="str">
        <f xml:space="preserve"> Time!AF$55</f>
        <v>Forecast</v>
      </c>
      <c r="AG3" s="158" t="str">
        <f xml:space="preserve"> Time!AG$55</f>
        <v>Forecast</v>
      </c>
      <c r="AH3" s="158" t="str">
        <f xml:space="preserve"> Time!AH$55</f>
        <v>Forecast</v>
      </c>
      <c r="AI3" s="158" t="str">
        <f xml:space="preserve"> Time!AI$55</f>
        <v>Forecast</v>
      </c>
      <c r="AJ3" s="158" t="str">
        <f xml:space="preserve"> Time!AJ$55</f>
        <v>Forecast</v>
      </c>
      <c r="AK3" s="158" t="str">
        <f xml:space="preserve"> Time!AK$55</f>
        <v>Forecast</v>
      </c>
      <c r="AL3" s="158" t="str">
        <f xml:space="preserve"> Time!AL$55</f>
        <v>Forecast</v>
      </c>
      <c r="AM3" s="158" t="str">
        <f xml:space="preserve"> Time!AM$55</f>
        <v>Forecast</v>
      </c>
      <c r="AN3" s="158" t="str">
        <f xml:space="preserve"> Time!AN$55</f>
        <v>Forecast</v>
      </c>
      <c r="AO3" s="158" t="str">
        <f xml:space="preserve"> Time!AO$55</f>
        <v>Forecast</v>
      </c>
      <c r="AP3" s="158" t="str">
        <f xml:space="preserve"> Time!AP$55</f>
        <v>Forecast</v>
      </c>
      <c r="AQ3" s="158" t="str">
        <f xml:space="preserve"> Time!AQ$55</f>
        <v>Forecast</v>
      </c>
      <c r="AR3" s="158" t="str">
        <f xml:space="preserve"> Time!AR$55</f>
        <v>Forecast</v>
      </c>
      <c r="AS3" s="158" t="str">
        <f xml:space="preserve"> Time!AS$55</f>
        <v>Forecast</v>
      </c>
      <c r="AT3" s="158" t="str">
        <f xml:space="preserve"> Time!AT$55</f>
        <v>Forecast</v>
      </c>
      <c r="AU3" s="158" t="str">
        <f xml:space="preserve"> Time!AU$55</f>
        <v>Forecast</v>
      </c>
      <c r="AV3" s="158" t="str">
        <f xml:space="preserve"> Time!AV$55</f>
        <v>Forecast</v>
      </c>
      <c r="AW3" s="158" t="str">
        <f xml:space="preserve"> Time!AW$55</f>
        <v>Forecast</v>
      </c>
      <c r="AX3" s="158" t="str">
        <f xml:space="preserve"> Time!AX$55</f>
        <v>Forecast</v>
      </c>
      <c r="AY3" s="158" t="str">
        <f xml:space="preserve"> Time!AY$55</f>
        <v>Forecast</v>
      </c>
      <c r="AZ3" s="158" t="str">
        <f xml:space="preserve"> Time!AZ$55</f>
        <v>Forecast</v>
      </c>
      <c r="BA3" s="158" t="str">
        <f xml:space="preserve"> Time!BA$55</f>
        <v>Forecast</v>
      </c>
      <c r="BB3" s="158" t="str">
        <f xml:space="preserve"> Time!BB$55</f>
        <v>Forecast</v>
      </c>
      <c r="BC3" s="158" t="str">
        <f xml:space="preserve"> Time!BC$55</f>
        <v>Forecast</v>
      </c>
      <c r="BD3" s="158" t="str">
        <f xml:space="preserve"> Time!BD$55</f>
        <v>Forecast</v>
      </c>
      <c r="BE3" s="158" t="str">
        <f xml:space="preserve"> Time!BE$55</f>
        <v>Forecast</v>
      </c>
      <c r="BF3" s="158" t="str">
        <f xml:space="preserve"> Time!BF$55</f>
        <v>Forecast</v>
      </c>
      <c r="BG3" s="158" t="str">
        <f xml:space="preserve"> Time!BG$55</f>
        <v>Forecast</v>
      </c>
      <c r="BH3" s="158" t="str">
        <f xml:space="preserve"> Time!BH$55</f>
        <v>Forecast</v>
      </c>
      <c r="BI3" s="158" t="str">
        <f xml:space="preserve"> Time!BI$55</f>
        <v>Forecast</v>
      </c>
      <c r="BJ3" s="158" t="str">
        <f xml:space="preserve"> Time!BJ$55</f>
        <v>Forecast</v>
      </c>
      <c r="BK3" s="158" t="str">
        <f xml:space="preserve"> Time!BK$55</f>
        <v>Forecast</v>
      </c>
      <c r="BL3" s="158" t="str">
        <f xml:space="preserve"> Time!BL$55</f>
        <v>Forecast</v>
      </c>
      <c r="BM3" s="158" t="str">
        <f xml:space="preserve"> Time!BM$55</f>
        <v>Forecast</v>
      </c>
      <c r="BN3" s="158" t="str">
        <f xml:space="preserve"> Time!BN$55</f>
        <v>Forecast</v>
      </c>
      <c r="BO3" s="158" t="str">
        <f xml:space="preserve"> Time!BO$55</f>
        <v>Forecast</v>
      </c>
      <c r="BP3" s="158" t="str">
        <f xml:space="preserve"> Time!BP$55</f>
        <v>Forecast</v>
      </c>
      <c r="BQ3" s="158" t="str">
        <f xml:space="preserve"> Time!BQ$55</f>
        <v>Forecast</v>
      </c>
      <c r="BR3" s="158" t="str">
        <f xml:space="preserve"> Time!BR$55</f>
        <v>Forecast</v>
      </c>
      <c r="BS3" s="158" t="str">
        <f xml:space="preserve"> Time!BS$55</f>
        <v>Post-Frcst</v>
      </c>
      <c r="BT3" s="158" t="str">
        <f xml:space="preserve"> Time!BT$55</f>
        <v>Post-Frcst</v>
      </c>
      <c r="BU3" s="158" t="str">
        <f xml:space="preserve"> Time!BU$55</f>
        <v>Post-Frcst</v>
      </c>
      <c r="BV3" s="158" t="str">
        <f xml:space="preserve"> Time!BV$55</f>
        <v>Post-Frcst</v>
      </c>
      <c r="BW3" s="158" t="str">
        <f xml:space="preserve"> Time!BW$55</f>
        <v>Post-Frcst</v>
      </c>
      <c r="BX3" s="158" t="str">
        <f xml:space="preserve"> Time!BX$55</f>
        <v>Post-Frcst</v>
      </c>
      <c r="BY3" s="158" t="str">
        <f xml:space="preserve"> Time!BY$55</f>
        <v>Post-Frcst</v>
      </c>
    </row>
    <row r="4" spans="1:77" s="7" customFormat="1" x14ac:dyDescent="0.2">
      <c r="A4" s="10"/>
      <c r="B4" s="5"/>
      <c r="C4" s="72"/>
      <c r="D4" s="6"/>
      <c r="E4" s="7" t="str">
        <f xml:space="preserve"> Time!E$25</f>
        <v>Financial year ending</v>
      </c>
      <c r="F4" s="161"/>
      <c r="G4" s="162" t="s">
        <v>94</v>
      </c>
      <c r="J4" s="73">
        <f xml:space="preserve"> Time!J$25</f>
        <v>2011</v>
      </c>
      <c r="K4" s="73">
        <f xml:space="preserve"> Time!K$25</f>
        <v>2011</v>
      </c>
      <c r="L4" s="73">
        <f xml:space="preserve"> Time!L$25</f>
        <v>2012</v>
      </c>
      <c r="M4" s="73">
        <f xml:space="preserve"> Time!M$25</f>
        <v>2012</v>
      </c>
      <c r="N4" s="73">
        <f xml:space="preserve"> Time!N$25</f>
        <v>2012</v>
      </c>
      <c r="O4" s="73">
        <f xml:space="preserve"> Time!O$25</f>
        <v>2012</v>
      </c>
      <c r="P4" s="73">
        <f xml:space="preserve"> Time!P$25</f>
        <v>2012</v>
      </c>
      <c r="Q4" s="73">
        <f xml:space="preserve"> Time!Q$25</f>
        <v>2012</v>
      </c>
      <c r="R4" s="73">
        <f xml:space="preserve"> Time!R$25</f>
        <v>2012</v>
      </c>
      <c r="S4" s="73">
        <f xml:space="preserve"> Time!S$25</f>
        <v>2012</v>
      </c>
      <c r="T4" s="73">
        <f xml:space="preserve"> Time!T$25</f>
        <v>2012</v>
      </c>
      <c r="U4" s="73">
        <f xml:space="preserve"> Time!U$25</f>
        <v>2012</v>
      </c>
      <c r="V4" s="73">
        <f xml:space="preserve"> Time!V$25</f>
        <v>2012</v>
      </c>
      <c r="W4" s="73">
        <f xml:space="preserve"> Time!W$25</f>
        <v>2012</v>
      </c>
      <c r="X4" s="73">
        <f xml:space="preserve"> Time!X$25</f>
        <v>2013</v>
      </c>
      <c r="Y4" s="73">
        <f xml:space="preserve"> Time!Y$25</f>
        <v>2013</v>
      </c>
      <c r="Z4" s="73">
        <f xml:space="preserve"> Time!Z$25</f>
        <v>2013</v>
      </c>
      <c r="AA4" s="73">
        <f xml:space="preserve"> Time!AA$25</f>
        <v>2013</v>
      </c>
      <c r="AB4" s="73">
        <f xml:space="preserve"> Time!AB$25</f>
        <v>2013</v>
      </c>
      <c r="AC4" s="73">
        <f xml:space="preserve"> Time!AC$25</f>
        <v>2013</v>
      </c>
      <c r="AD4" s="73">
        <f xml:space="preserve"> Time!AD$25</f>
        <v>2013</v>
      </c>
      <c r="AE4" s="73">
        <f xml:space="preserve"> Time!AE$25</f>
        <v>2013</v>
      </c>
      <c r="AF4" s="73">
        <f xml:space="preserve"> Time!AF$25</f>
        <v>2013</v>
      </c>
      <c r="AG4" s="73">
        <f xml:space="preserve"> Time!AG$25</f>
        <v>2013</v>
      </c>
      <c r="AH4" s="73">
        <f xml:space="preserve"> Time!AH$25</f>
        <v>2013</v>
      </c>
      <c r="AI4" s="73">
        <f xml:space="preserve"> Time!AI$25</f>
        <v>2013</v>
      </c>
      <c r="AJ4" s="73">
        <f xml:space="preserve"> Time!AJ$25</f>
        <v>2014</v>
      </c>
      <c r="AK4" s="73">
        <f xml:space="preserve"> Time!AK$25</f>
        <v>2014</v>
      </c>
      <c r="AL4" s="73">
        <f xml:space="preserve"> Time!AL$25</f>
        <v>2014</v>
      </c>
      <c r="AM4" s="73">
        <f xml:space="preserve"> Time!AM$25</f>
        <v>2014</v>
      </c>
      <c r="AN4" s="73">
        <f xml:space="preserve"> Time!AN$25</f>
        <v>2014</v>
      </c>
      <c r="AO4" s="73">
        <f xml:space="preserve"> Time!AO$25</f>
        <v>2014</v>
      </c>
      <c r="AP4" s="73">
        <f xml:space="preserve"> Time!AP$25</f>
        <v>2014</v>
      </c>
      <c r="AQ4" s="73">
        <f xml:space="preserve"> Time!AQ$25</f>
        <v>2014</v>
      </c>
      <c r="AR4" s="73">
        <f xml:space="preserve"> Time!AR$25</f>
        <v>2014</v>
      </c>
      <c r="AS4" s="73">
        <f xml:space="preserve"> Time!AS$25</f>
        <v>2014</v>
      </c>
      <c r="AT4" s="73">
        <f xml:space="preserve"> Time!AT$25</f>
        <v>2014</v>
      </c>
      <c r="AU4" s="73">
        <f xml:space="preserve"> Time!AU$25</f>
        <v>2014</v>
      </c>
      <c r="AV4" s="73">
        <f xml:space="preserve"> Time!AV$25</f>
        <v>2015</v>
      </c>
      <c r="AW4" s="73">
        <f xml:space="preserve"> Time!AW$25</f>
        <v>2015</v>
      </c>
      <c r="AX4" s="73">
        <f xml:space="preserve"> Time!AX$25</f>
        <v>2015</v>
      </c>
      <c r="AY4" s="73">
        <f xml:space="preserve"> Time!AY$25</f>
        <v>2015</v>
      </c>
      <c r="AZ4" s="73">
        <f xml:space="preserve"> Time!AZ$25</f>
        <v>2015</v>
      </c>
      <c r="BA4" s="73">
        <f xml:space="preserve"> Time!BA$25</f>
        <v>2015</v>
      </c>
      <c r="BB4" s="73">
        <f xml:space="preserve"> Time!BB$25</f>
        <v>2015</v>
      </c>
      <c r="BC4" s="73">
        <f xml:space="preserve"> Time!BC$25</f>
        <v>2015</v>
      </c>
      <c r="BD4" s="73">
        <f xml:space="preserve"> Time!BD$25</f>
        <v>2015</v>
      </c>
      <c r="BE4" s="73">
        <f xml:space="preserve"> Time!BE$25</f>
        <v>2015</v>
      </c>
      <c r="BF4" s="73">
        <f xml:space="preserve"> Time!BF$25</f>
        <v>2015</v>
      </c>
      <c r="BG4" s="73">
        <f xml:space="preserve"> Time!BG$25</f>
        <v>2015</v>
      </c>
      <c r="BH4" s="73">
        <f xml:space="preserve"> Time!BH$25</f>
        <v>2016</v>
      </c>
      <c r="BI4" s="73">
        <f xml:space="preserve"> Time!BI$25</f>
        <v>2016</v>
      </c>
      <c r="BJ4" s="73">
        <f xml:space="preserve"> Time!BJ$25</f>
        <v>2016</v>
      </c>
      <c r="BK4" s="73">
        <f xml:space="preserve"> Time!BK$25</f>
        <v>2016</v>
      </c>
      <c r="BL4" s="73">
        <f xml:space="preserve"> Time!BL$25</f>
        <v>2016</v>
      </c>
      <c r="BM4" s="73">
        <f xml:space="preserve"> Time!BM$25</f>
        <v>2016</v>
      </c>
      <c r="BN4" s="73">
        <f xml:space="preserve"> Time!BN$25</f>
        <v>2016</v>
      </c>
      <c r="BO4" s="73">
        <f xml:space="preserve"> Time!BO$25</f>
        <v>2016</v>
      </c>
      <c r="BP4" s="73">
        <f xml:space="preserve"> Time!BP$25</f>
        <v>2016</v>
      </c>
      <c r="BQ4" s="73">
        <f xml:space="preserve"> Time!BQ$25</f>
        <v>2016</v>
      </c>
      <c r="BR4" s="73">
        <f xml:space="preserve"> Time!BR$25</f>
        <v>2016</v>
      </c>
      <c r="BS4" s="73">
        <f xml:space="preserve"> Time!BS$25</f>
        <v>2016</v>
      </c>
      <c r="BT4" s="73">
        <f xml:space="preserve"> Time!BT$25</f>
        <v>2017</v>
      </c>
      <c r="BU4" s="73">
        <f xml:space="preserve"> Time!BU$25</f>
        <v>2017</v>
      </c>
      <c r="BV4" s="73">
        <f xml:space="preserve"> Time!BV$25</f>
        <v>2017</v>
      </c>
      <c r="BW4" s="73">
        <f xml:space="preserve"> Time!BW$25</f>
        <v>2017</v>
      </c>
      <c r="BX4" s="73">
        <f xml:space="preserve"> Time!BX$25</f>
        <v>2017</v>
      </c>
      <c r="BY4" s="73">
        <f xml:space="preserve"> Time!BY$25</f>
        <v>2017</v>
      </c>
    </row>
    <row r="5" spans="1:77" s="7" customFormat="1" x14ac:dyDescent="0.2">
      <c r="A5" s="10"/>
      <c r="B5" s="5"/>
      <c r="C5" s="72"/>
      <c r="D5" s="6"/>
      <c r="E5" s="7" t="str">
        <f xml:space="preserve"> Time!E$9</f>
        <v>Model column counter</v>
      </c>
      <c r="F5" s="102" t="s">
        <v>62</v>
      </c>
      <c r="G5" s="10" t="s">
        <v>63</v>
      </c>
      <c r="H5" s="102" t="s">
        <v>64</v>
      </c>
      <c r="J5" s="7">
        <f xml:space="preserve"> Time!J$9</f>
        <v>1</v>
      </c>
      <c r="K5" s="7">
        <f xml:space="preserve"> Time!K$9</f>
        <v>2</v>
      </c>
      <c r="L5" s="7">
        <f xml:space="preserve"> Time!L$9</f>
        <v>3</v>
      </c>
      <c r="M5" s="7">
        <f xml:space="preserve"> Time!M$9</f>
        <v>4</v>
      </c>
      <c r="N5" s="7">
        <f xml:space="preserve"> Time!N$9</f>
        <v>5</v>
      </c>
      <c r="O5" s="7">
        <f xml:space="preserve"> Time!O$9</f>
        <v>6</v>
      </c>
      <c r="P5" s="7">
        <f xml:space="preserve"> Time!P$9</f>
        <v>7</v>
      </c>
      <c r="Q5" s="7">
        <f xml:space="preserve"> Time!Q$9</f>
        <v>8</v>
      </c>
      <c r="R5" s="7">
        <f xml:space="preserve"> Time!R$9</f>
        <v>9</v>
      </c>
      <c r="S5" s="7">
        <f xml:space="preserve"> Time!S$9</f>
        <v>10</v>
      </c>
      <c r="T5" s="7">
        <f xml:space="preserve"> Time!T$9</f>
        <v>11</v>
      </c>
      <c r="U5" s="7">
        <f xml:space="preserve"> Time!U$9</f>
        <v>12</v>
      </c>
      <c r="V5" s="7">
        <f xml:space="preserve"> Time!V$9</f>
        <v>13</v>
      </c>
      <c r="W5" s="7">
        <f xml:space="preserve"> Time!W$9</f>
        <v>14</v>
      </c>
      <c r="X5" s="7">
        <f xml:space="preserve"> Time!X$9</f>
        <v>15</v>
      </c>
      <c r="Y5" s="7">
        <f xml:space="preserve"> Time!Y$9</f>
        <v>16</v>
      </c>
      <c r="Z5" s="7">
        <f xml:space="preserve"> Time!Z$9</f>
        <v>17</v>
      </c>
      <c r="AA5" s="7">
        <f xml:space="preserve"> Time!AA$9</f>
        <v>18</v>
      </c>
      <c r="AB5" s="7">
        <f xml:space="preserve"> Time!AB$9</f>
        <v>19</v>
      </c>
      <c r="AC5" s="7">
        <f xml:space="preserve"> Time!AC$9</f>
        <v>20</v>
      </c>
      <c r="AD5" s="7">
        <f xml:space="preserve"> Time!AD$9</f>
        <v>21</v>
      </c>
      <c r="AE5" s="7">
        <f xml:space="preserve"> Time!AE$9</f>
        <v>22</v>
      </c>
      <c r="AF5" s="7">
        <f xml:space="preserve"> Time!AF$9</f>
        <v>23</v>
      </c>
      <c r="AG5" s="7">
        <f xml:space="preserve"> Time!AG$9</f>
        <v>24</v>
      </c>
      <c r="AH5" s="7">
        <f xml:space="preserve"> Time!AH$9</f>
        <v>25</v>
      </c>
      <c r="AI5" s="7">
        <f xml:space="preserve"> Time!AI$9</f>
        <v>26</v>
      </c>
      <c r="AJ5" s="7">
        <f xml:space="preserve"> Time!AJ$9</f>
        <v>27</v>
      </c>
      <c r="AK5" s="7">
        <f xml:space="preserve"> Time!AK$9</f>
        <v>28</v>
      </c>
      <c r="AL5" s="7">
        <f xml:space="preserve"> Time!AL$9</f>
        <v>29</v>
      </c>
      <c r="AM5" s="7">
        <f xml:space="preserve"> Time!AM$9</f>
        <v>30</v>
      </c>
      <c r="AN5" s="7">
        <f xml:space="preserve"> Time!AN$9</f>
        <v>31</v>
      </c>
      <c r="AO5" s="7">
        <f xml:space="preserve"> Time!AO$9</f>
        <v>32</v>
      </c>
      <c r="AP5" s="7">
        <f xml:space="preserve"> Time!AP$9</f>
        <v>33</v>
      </c>
      <c r="AQ5" s="7">
        <f xml:space="preserve"> Time!AQ$9</f>
        <v>34</v>
      </c>
      <c r="AR5" s="7">
        <f xml:space="preserve"> Time!AR$9</f>
        <v>35</v>
      </c>
      <c r="AS5" s="7">
        <f xml:space="preserve"> Time!AS$9</f>
        <v>36</v>
      </c>
      <c r="AT5" s="7">
        <f xml:space="preserve"> Time!AT$9</f>
        <v>37</v>
      </c>
      <c r="AU5" s="7">
        <f xml:space="preserve"> Time!AU$9</f>
        <v>38</v>
      </c>
      <c r="AV5" s="7">
        <f xml:space="preserve"> Time!AV$9</f>
        <v>39</v>
      </c>
      <c r="AW5" s="7">
        <f xml:space="preserve"> Time!AW$9</f>
        <v>40</v>
      </c>
      <c r="AX5" s="7">
        <f xml:space="preserve"> Time!AX$9</f>
        <v>41</v>
      </c>
      <c r="AY5" s="7">
        <f xml:space="preserve"> Time!AY$9</f>
        <v>42</v>
      </c>
      <c r="AZ5" s="7">
        <f xml:space="preserve"> Time!AZ$9</f>
        <v>43</v>
      </c>
      <c r="BA5" s="7">
        <f xml:space="preserve"> Time!BA$9</f>
        <v>44</v>
      </c>
      <c r="BB5" s="7">
        <f xml:space="preserve"> Time!BB$9</f>
        <v>45</v>
      </c>
      <c r="BC5" s="7">
        <f xml:space="preserve"> Time!BC$9</f>
        <v>46</v>
      </c>
      <c r="BD5" s="7">
        <f xml:space="preserve"> Time!BD$9</f>
        <v>47</v>
      </c>
      <c r="BE5" s="7">
        <f xml:space="preserve"> Time!BE$9</f>
        <v>48</v>
      </c>
      <c r="BF5" s="7">
        <f xml:space="preserve"> Time!BF$9</f>
        <v>49</v>
      </c>
      <c r="BG5" s="7">
        <f xml:space="preserve"> Time!BG$9</f>
        <v>50</v>
      </c>
      <c r="BH5" s="7">
        <f xml:space="preserve"> Time!BH$9</f>
        <v>51</v>
      </c>
      <c r="BI5" s="7">
        <f xml:space="preserve"> Time!BI$9</f>
        <v>52</v>
      </c>
      <c r="BJ5" s="7">
        <f xml:space="preserve"> Time!BJ$9</f>
        <v>53</v>
      </c>
      <c r="BK5" s="7">
        <f xml:space="preserve"> Time!BK$9</f>
        <v>54</v>
      </c>
      <c r="BL5" s="7">
        <f xml:space="preserve"> Time!BL$9</f>
        <v>55</v>
      </c>
      <c r="BM5" s="7">
        <f xml:space="preserve"> Time!BM$9</f>
        <v>56</v>
      </c>
      <c r="BN5" s="7">
        <f xml:space="preserve"> Time!BN$9</f>
        <v>57</v>
      </c>
      <c r="BO5" s="7">
        <f xml:space="preserve"> Time!BO$9</f>
        <v>58</v>
      </c>
      <c r="BP5" s="7">
        <f xml:space="preserve"> Time!BP$9</f>
        <v>59</v>
      </c>
      <c r="BQ5" s="7">
        <f xml:space="preserve"> Time!BQ$9</f>
        <v>60</v>
      </c>
      <c r="BR5" s="7">
        <f xml:space="preserve"> Time!BR$9</f>
        <v>61</v>
      </c>
      <c r="BS5" s="7">
        <f xml:space="preserve"> Time!BS$9</f>
        <v>62</v>
      </c>
      <c r="BT5" s="7">
        <f xml:space="preserve"> Time!BT$9</f>
        <v>63</v>
      </c>
      <c r="BU5" s="7">
        <f xml:space="preserve"> Time!BU$9</f>
        <v>64</v>
      </c>
      <c r="BV5" s="7">
        <f xml:space="preserve"> Time!BV$9</f>
        <v>65</v>
      </c>
      <c r="BW5" s="7">
        <f xml:space="preserve"> Time!BW$9</f>
        <v>66</v>
      </c>
      <c r="BX5" s="7">
        <f xml:space="preserve"> Time!BX$9</f>
        <v>67</v>
      </c>
      <c r="BY5" s="7">
        <f xml:space="preserve"> Time!BY$9</f>
        <v>68</v>
      </c>
    </row>
    <row r="7" spans="1:77" x14ac:dyDescent="0.2">
      <c r="A7" s="10" t="s">
        <v>80</v>
      </c>
    </row>
    <row r="9" spans="1:77" x14ac:dyDescent="0.2">
      <c r="B9" s="5" t="s">
        <v>21</v>
      </c>
    </row>
    <row r="10" spans="1:77" x14ac:dyDescent="0.2">
      <c r="E10" s="2" t="s">
        <v>23</v>
      </c>
      <c r="F10" s="48">
        <v>2300</v>
      </c>
      <c r="G10" s="2" t="s">
        <v>22</v>
      </c>
    </row>
    <row r="11" spans="1:77" s="138" customFormat="1" x14ac:dyDescent="0.2">
      <c r="A11" s="135"/>
      <c r="B11" s="120"/>
      <c r="C11" s="136"/>
      <c r="D11" s="137"/>
      <c r="E11" s="138" t="str">
        <f xml:space="preserve"> Time!E$43</f>
        <v>Forecast period flag</v>
      </c>
      <c r="F11" s="138">
        <f xml:space="preserve"> Time!F$43</f>
        <v>0</v>
      </c>
      <c r="G11" s="138" t="str">
        <f xml:space="preserve"> Time!G$43</f>
        <v>flag</v>
      </c>
      <c r="H11" s="138">
        <f xml:space="preserve"> Time!H$43</f>
        <v>60</v>
      </c>
      <c r="I11" s="138">
        <f xml:space="preserve"> Time!I$43</f>
        <v>0</v>
      </c>
      <c r="J11" s="138">
        <f xml:space="preserve"> Time!J$43</f>
        <v>0</v>
      </c>
      <c r="K11" s="138">
        <f xml:space="preserve"> Time!K$43</f>
        <v>1</v>
      </c>
      <c r="L11" s="138">
        <f xml:space="preserve"> Time!L$43</f>
        <v>1</v>
      </c>
      <c r="M11" s="138">
        <f xml:space="preserve"> Time!M$43</f>
        <v>1</v>
      </c>
      <c r="N11" s="138">
        <f xml:space="preserve"> Time!N$43</f>
        <v>1</v>
      </c>
      <c r="O11" s="138">
        <f xml:space="preserve"> Time!O$43</f>
        <v>1</v>
      </c>
      <c r="P11" s="138">
        <f xml:space="preserve"> Time!P$43</f>
        <v>1</v>
      </c>
      <c r="Q11" s="138">
        <f xml:space="preserve"> Time!Q$43</f>
        <v>1</v>
      </c>
      <c r="R11" s="138">
        <f xml:space="preserve"> Time!R$43</f>
        <v>1</v>
      </c>
      <c r="S11" s="138">
        <f xml:space="preserve"> Time!S$43</f>
        <v>1</v>
      </c>
      <c r="T11" s="138">
        <f xml:space="preserve"> Time!T$43</f>
        <v>1</v>
      </c>
      <c r="U11" s="138">
        <f xml:space="preserve"> Time!U$43</f>
        <v>1</v>
      </c>
      <c r="V11" s="138">
        <f xml:space="preserve"> Time!V$43</f>
        <v>1</v>
      </c>
      <c r="W11" s="138">
        <f xml:space="preserve"> Time!W$43</f>
        <v>1</v>
      </c>
      <c r="X11" s="138">
        <f xml:space="preserve"> Time!X$43</f>
        <v>1</v>
      </c>
      <c r="Y11" s="138">
        <f xml:space="preserve"> Time!Y$43</f>
        <v>1</v>
      </c>
      <c r="Z11" s="138">
        <f xml:space="preserve"> Time!Z$43</f>
        <v>1</v>
      </c>
      <c r="AA11" s="138">
        <f xml:space="preserve"> Time!AA$43</f>
        <v>1</v>
      </c>
      <c r="AB11" s="138">
        <f xml:space="preserve"> Time!AB$43</f>
        <v>1</v>
      </c>
      <c r="AC11" s="138">
        <f xml:space="preserve"> Time!AC$43</f>
        <v>1</v>
      </c>
      <c r="AD11" s="138">
        <f xml:space="preserve"> Time!AD$43</f>
        <v>1</v>
      </c>
      <c r="AE11" s="138">
        <f xml:space="preserve"> Time!AE$43</f>
        <v>1</v>
      </c>
      <c r="AF11" s="138">
        <f xml:space="preserve"> Time!AF$43</f>
        <v>1</v>
      </c>
      <c r="AG11" s="138">
        <f xml:space="preserve"> Time!AG$43</f>
        <v>1</v>
      </c>
      <c r="AH11" s="138">
        <f xml:space="preserve"> Time!AH$43</f>
        <v>1</v>
      </c>
      <c r="AI11" s="138">
        <f xml:space="preserve"> Time!AI$43</f>
        <v>1</v>
      </c>
      <c r="AJ11" s="138">
        <f xml:space="preserve"> Time!AJ$43</f>
        <v>1</v>
      </c>
      <c r="AK11" s="138">
        <f xml:space="preserve"> Time!AK$43</f>
        <v>1</v>
      </c>
      <c r="AL11" s="138">
        <f xml:space="preserve"> Time!AL$43</f>
        <v>1</v>
      </c>
      <c r="AM11" s="138">
        <f xml:space="preserve"> Time!AM$43</f>
        <v>1</v>
      </c>
      <c r="AN11" s="138">
        <f xml:space="preserve"> Time!AN$43</f>
        <v>1</v>
      </c>
      <c r="AO11" s="138">
        <f xml:space="preserve"> Time!AO$43</f>
        <v>1</v>
      </c>
      <c r="AP11" s="138">
        <f xml:space="preserve"> Time!AP$43</f>
        <v>1</v>
      </c>
      <c r="AQ11" s="138">
        <f xml:space="preserve"> Time!AQ$43</f>
        <v>1</v>
      </c>
      <c r="AR11" s="138">
        <f xml:space="preserve"> Time!AR$43</f>
        <v>1</v>
      </c>
      <c r="AS11" s="138">
        <f xml:space="preserve"> Time!AS$43</f>
        <v>1</v>
      </c>
      <c r="AT11" s="138">
        <f xml:space="preserve"> Time!AT$43</f>
        <v>1</v>
      </c>
      <c r="AU11" s="138">
        <f xml:space="preserve"> Time!AU$43</f>
        <v>1</v>
      </c>
      <c r="AV11" s="138">
        <f xml:space="preserve"> Time!AV$43</f>
        <v>1</v>
      </c>
      <c r="AW11" s="138">
        <f xml:space="preserve"> Time!AW$43</f>
        <v>1</v>
      </c>
      <c r="AX11" s="138">
        <f xml:space="preserve"> Time!AX$43</f>
        <v>1</v>
      </c>
      <c r="AY11" s="138">
        <f xml:space="preserve"> Time!AY$43</f>
        <v>1</v>
      </c>
      <c r="AZ11" s="138">
        <f xml:space="preserve"> Time!AZ$43</f>
        <v>1</v>
      </c>
      <c r="BA11" s="138">
        <f xml:space="preserve"> Time!BA$43</f>
        <v>1</v>
      </c>
      <c r="BB11" s="138">
        <f xml:space="preserve"> Time!BB$43</f>
        <v>1</v>
      </c>
      <c r="BC11" s="138">
        <f xml:space="preserve"> Time!BC$43</f>
        <v>1</v>
      </c>
      <c r="BD11" s="138">
        <f xml:space="preserve"> Time!BD$43</f>
        <v>1</v>
      </c>
      <c r="BE11" s="138">
        <f xml:space="preserve"> Time!BE$43</f>
        <v>1</v>
      </c>
      <c r="BF11" s="138">
        <f xml:space="preserve"> Time!BF$43</f>
        <v>1</v>
      </c>
      <c r="BG11" s="138">
        <f xml:space="preserve"> Time!BG$43</f>
        <v>1</v>
      </c>
      <c r="BH11" s="138">
        <f xml:space="preserve"> Time!BH$43</f>
        <v>1</v>
      </c>
      <c r="BI11" s="138">
        <f xml:space="preserve"> Time!BI$43</f>
        <v>1</v>
      </c>
      <c r="BJ11" s="138">
        <f xml:space="preserve"> Time!BJ$43</f>
        <v>1</v>
      </c>
      <c r="BK11" s="138">
        <f xml:space="preserve"> Time!BK$43</f>
        <v>1</v>
      </c>
      <c r="BL11" s="138">
        <f xml:space="preserve"> Time!BL$43</f>
        <v>1</v>
      </c>
      <c r="BM11" s="138">
        <f xml:space="preserve"> Time!BM$43</f>
        <v>1</v>
      </c>
      <c r="BN11" s="138">
        <f xml:space="preserve"> Time!BN$43</f>
        <v>1</v>
      </c>
      <c r="BO11" s="138">
        <f xml:space="preserve"> Time!BO$43</f>
        <v>1</v>
      </c>
      <c r="BP11" s="138">
        <f xml:space="preserve"> Time!BP$43</f>
        <v>1</v>
      </c>
      <c r="BQ11" s="138">
        <f xml:space="preserve"> Time!BQ$43</f>
        <v>1</v>
      </c>
      <c r="BR11" s="138">
        <f xml:space="preserve"> Time!BR$43</f>
        <v>1</v>
      </c>
      <c r="BS11" s="138">
        <f xml:space="preserve"> Time!BS$43</f>
        <v>0</v>
      </c>
      <c r="BT11" s="138">
        <f xml:space="preserve"> Time!BT$43</f>
        <v>0</v>
      </c>
      <c r="BU11" s="138">
        <f xml:space="preserve"> Time!BU$43</f>
        <v>0</v>
      </c>
      <c r="BV11" s="138">
        <f xml:space="preserve"> Time!BV$43</f>
        <v>0</v>
      </c>
      <c r="BW11" s="138">
        <f xml:space="preserve"> Time!BW$43</f>
        <v>0</v>
      </c>
      <c r="BX11" s="138">
        <f xml:space="preserve"> Time!BX$43</f>
        <v>0</v>
      </c>
      <c r="BY11" s="138">
        <f xml:space="preserve"> Time!BY$43</f>
        <v>0</v>
      </c>
    </row>
    <row r="12" spans="1:77" x14ac:dyDescent="0.2">
      <c r="E12" s="2" t="s">
        <v>24</v>
      </c>
      <c r="G12" s="2" t="s">
        <v>22</v>
      </c>
      <c r="H12" s="2">
        <f xml:space="preserve"> SUM(J12:BY12)</f>
        <v>138000</v>
      </c>
      <c r="J12" s="2">
        <f xml:space="preserve"> $F10 * J11</f>
        <v>0</v>
      </c>
      <c r="K12" s="2">
        <f t="shared" ref="K12:BV12" si="0" xml:space="preserve"> $F10 * K11</f>
        <v>2300</v>
      </c>
      <c r="L12" s="2">
        <f t="shared" si="0"/>
        <v>2300</v>
      </c>
      <c r="M12" s="2">
        <f t="shared" si="0"/>
        <v>2300</v>
      </c>
      <c r="N12" s="2">
        <f t="shared" si="0"/>
        <v>2300</v>
      </c>
      <c r="O12" s="2">
        <f t="shared" si="0"/>
        <v>2300</v>
      </c>
      <c r="P12" s="2">
        <f t="shared" si="0"/>
        <v>2300</v>
      </c>
      <c r="Q12" s="2">
        <f t="shared" si="0"/>
        <v>2300</v>
      </c>
      <c r="R12" s="2">
        <f t="shared" si="0"/>
        <v>2300</v>
      </c>
      <c r="S12" s="2">
        <f t="shared" si="0"/>
        <v>2300</v>
      </c>
      <c r="T12" s="2">
        <f t="shared" si="0"/>
        <v>2300</v>
      </c>
      <c r="U12" s="2">
        <f t="shared" si="0"/>
        <v>2300</v>
      </c>
      <c r="V12" s="2">
        <f t="shared" si="0"/>
        <v>2300</v>
      </c>
      <c r="W12" s="2">
        <f t="shared" si="0"/>
        <v>2300</v>
      </c>
      <c r="X12" s="2">
        <f t="shared" si="0"/>
        <v>2300</v>
      </c>
      <c r="Y12" s="2">
        <f t="shared" si="0"/>
        <v>2300</v>
      </c>
      <c r="Z12" s="2">
        <f t="shared" si="0"/>
        <v>2300</v>
      </c>
      <c r="AA12" s="2">
        <f t="shared" si="0"/>
        <v>2300</v>
      </c>
      <c r="AB12" s="2">
        <f t="shared" si="0"/>
        <v>2300</v>
      </c>
      <c r="AC12" s="2">
        <f t="shared" si="0"/>
        <v>2300</v>
      </c>
      <c r="AD12" s="2">
        <f t="shared" si="0"/>
        <v>2300</v>
      </c>
      <c r="AE12" s="2">
        <f t="shared" si="0"/>
        <v>2300</v>
      </c>
      <c r="AF12" s="2">
        <f t="shared" si="0"/>
        <v>2300</v>
      </c>
      <c r="AG12" s="2">
        <f t="shared" si="0"/>
        <v>2300</v>
      </c>
      <c r="AH12" s="2">
        <f t="shared" si="0"/>
        <v>2300</v>
      </c>
      <c r="AI12" s="2">
        <f t="shared" si="0"/>
        <v>2300</v>
      </c>
      <c r="AJ12" s="2">
        <f t="shared" si="0"/>
        <v>2300</v>
      </c>
      <c r="AK12" s="2">
        <f t="shared" si="0"/>
        <v>2300</v>
      </c>
      <c r="AL12" s="2">
        <f t="shared" si="0"/>
        <v>2300</v>
      </c>
      <c r="AM12" s="2">
        <f t="shared" si="0"/>
        <v>2300</v>
      </c>
      <c r="AN12" s="2">
        <f t="shared" si="0"/>
        <v>2300</v>
      </c>
      <c r="AO12" s="2">
        <f t="shared" si="0"/>
        <v>2300</v>
      </c>
      <c r="AP12" s="2">
        <f t="shared" si="0"/>
        <v>2300</v>
      </c>
      <c r="AQ12" s="2">
        <f t="shared" si="0"/>
        <v>2300</v>
      </c>
      <c r="AR12" s="2">
        <f t="shared" si="0"/>
        <v>2300</v>
      </c>
      <c r="AS12" s="2">
        <f t="shared" si="0"/>
        <v>2300</v>
      </c>
      <c r="AT12" s="2">
        <f t="shared" si="0"/>
        <v>2300</v>
      </c>
      <c r="AU12" s="2">
        <f t="shared" si="0"/>
        <v>2300</v>
      </c>
      <c r="AV12" s="2">
        <f t="shared" si="0"/>
        <v>2300</v>
      </c>
      <c r="AW12" s="2">
        <f t="shared" si="0"/>
        <v>2300</v>
      </c>
      <c r="AX12" s="2">
        <f t="shared" si="0"/>
        <v>2300</v>
      </c>
      <c r="AY12" s="2">
        <f t="shared" si="0"/>
        <v>2300</v>
      </c>
      <c r="AZ12" s="2">
        <f t="shared" si="0"/>
        <v>2300</v>
      </c>
      <c r="BA12" s="2">
        <f t="shared" si="0"/>
        <v>2300</v>
      </c>
      <c r="BB12" s="2">
        <f t="shared" si="0"/>
        <v>2300</v>
      </c>
      <c r="BC12" s="2">
        <f t="shared" si="0"/>
        <v>2300</v>
      </c>
      <c r="BD12" s="2">
        <f t="shared" si="0"/>
        <v>2300</v>
      </c>
      <c r="BE12" s="2">
        <f t="shared" si="0"/>
        <v>2300</v>
      </c>
      <c r="BF12" s="2">
        <f t="shared" si="0"/>
        <v>2300</v>
      </c>
      <c r="BG12" s="2">
        <f t="shared" si="0"/>
        <v>2300</v>
      </c>
      <c r="BH12" s="2">
        <f t="shared" si="0"/>
        <v>2300</v>
      </c>
      <c r="BI12" s="2">
        <f t="shared" si="0"/>
        <v>2300</v>
      </c>
      <c r="BJ12" s="2">
        <f t="shared" si="0"/>
        <v>2300</v>
      </c>
      <c r="BK12" s="2">
        <f t="shared" si="0"/>
        <v>2300</v>
      </c>
      <c r="BL12" s="2">
        <f t="shared" si="0"/>
        <v>2300</v>
      </c>
      <c r="BM12" s="2">
        <f t="shared" si="0"/>
        <v>2300</v>
      </c>
      <c r="BN12" s="2">
        <f t="shared" si="0"/>
        <v>2300</v>
      </c>
      <c r="BO12" s="2">
        <f t="shared" si="0"/>
        <v>2300</v>
      </c>
      <c r="BP12" s="2">
        <f t="shared" si="0"/>
        <v>2300</v>
      </c>
      <c r="BQ12" s="2">
        <f t="shared" si="0"/>
        <v>2300</v>
      </c>
      <c r="BR12" s="2">
        <f t="shared" si="0"/>
        <v>2300</v>
      </c>
      <c r="BS12" s="2">
        <f t="shared" si="0"/>
        <v>0</v>
      </c>
      <c r="BT12" s="2">
        <f t="shared" si="0"/>
        <v>0</v>
      </c>
      <c r="BU12" s="2">
        <f t="shared" si="0"/>
        <v>0</v>
      </c>
      <c r="BV12" s="2">
        <f t="shared" si="0"/>
        <v>0</v>
      </c>
      <c r="BW12" s="2">
        <f xml:space="preserve"> $F10 * BW11</f>
        <v>0</v>
      </c>
      <c r="BX12" s="2">
        <f xml:space="preserve"> $F10 * BX11</f>
        <v>0</v>
      </c>
      <c r="BY12" s="2">
        <f xml:space="preserve"> $F10 * BY11</f>
        <v>0</v>
      </c>
    </row>
    <row r="14" spans="1:77" s="149" customFormat="1" x14ac:dyDescent="0.2">
      <c r="E14" s="149" t="s">
        <v>25</v>
      </c>
      <c r="F14" s="150">
        <v>17.3</v>
      </c>
      <c r="G14" s="149" t="s">
        <v>85</v>
      </c>
    </row>
    <row r="15" spans="1:77" x14ac:dyDescent="0.2">
      <c r="E15" s="2" t="str">
        <f xml:space="preserve"> E$12</f>
        <v>Forecast waste received</v>
      </c>
      <c r="F15" s="2">
        <f t="shared" ref="F15:BQ15" si="1" xml:space="preserve"> F$12</f>
        <v>0</v>
      </c>
      <c r="G15" s="2" t="str">
        <f t="shared" si="1"/>
        <v>tonnes</v>
      </c>
      <c r="H15" s="2">
        <f t="shared" si="1"/>
        <v>138000</v>
      </c>
      <c r="I15" s="2">
        <f t="shared" si="1"/>
        <v>0</v>
      </c>
      <c r="J15" s="2">
        <f t="shared" si="1"/>
        <v>0</v>
      </c>
      <c r="K15" s="2">
        <f t="shared" si="1"/>
        <v>2300</v>
      </c>
      <c r="L15" s="2">
        <f t="shared" si="1"/>
        <v>2300</v>
      </c>
      <c r="M15" s="2">
        <f t="shared" si="1"/>
        <v>2300</v>
      </c>
      <c r="N15" s="2">
        <f t="shared" si="1"/>
        <v>2300</v>
      </c>
      <c r="O15" s="2">
        <f t="shared" si="1"/>
        <v>2300</v>
      </c>
      <c r="P15" s="2">
        <f t="shared" si="1"/>
        <v>2300</v>
      </c>
      <c r="Q15" s="2">
        <f t="shared" si="1"/>
        <v>2300</v>
      </c>
      <c r="R15" s="2">
        <f t="shared" si="1"/>
        <v>2300</v>
      </c>
      <c r="S15" s="2">
        <f t="shared" si="1"/>
        <v>2300</v>
      </c>
      <c r="T15" s="2">
        <f t="shared" si="1"/>
        <v>2300</v>
      </c>
      <c r="U15" s="2">
        <f t="shared" si="1"/>
        <v>2300</v>
      </c>
      <c r="V15" s="2">
        <f t="shared" si="1"/>
        <v>2300</v>
      </c>
      <c r="W15" s="2">
        <f t="shared" si="1"/>
        <v>2300</v>
      </c>
      <c r="X15" s="2">
        <f t="shared" si="1"/>
        <v>2300</v>
      </c>
      <c r="Y15" s="2">
        <f t="shared" si="1"/>
        <v>2300</v>
      </c>
      <c r="Z15" s="2">
        <f t="shared" si="1"/>
        <v>2300</v>
      </c>
      <c r="AA15" s="2">
        <f t="shared" si="1"/>
        <v>2300</v>
      </c>
      <c r="AB15" s="2">
        <f t="shared" si="1"/>
        <v>2300</v>
      </c>
      <c r="AC15" s="2">
        <f t="shared" si="1"/>
        <v>2300</v>
      </c>
      <c r="AD15" s="2">
        <f t="shared" si="1"/>
        <v>2300</v>
      </c>
      <c r="AE15" s="2">
        <f t="shared" si="1"/>
        <v>2300</v>
      </c>
      <c r="AF15" s="2">
        <f t="shared" si="1"/>
        <v>2300</v>
      </c>
      <c r="AG15" s="2">
        <f t="shared" si="1"/>
        <v>2300</v>
      </c>
      <c r="AH15" s="2">
        <f t="shared" si="1"/>
        <v>2300</v>
      </c>
      <c r="AI15" s="2">
        <f t="shared" si="1"/>
        <v>2300</v>
      </c>
      <c r="AJ15" s="2">
        <f t="shared" si="1"/>
        <v>2300</v>
      </c>
      <c r="AK15" s="2">
        <f t="shared" si="1"/>
        <v>2300</v>
      </c>
      <c r="AL15" s="2">
        <f t="shared" si="1"/>
        <v>2300</v>
      </c>
      <c r="AM15" s="2">
        <f t="shared" si="1"/>
        <v>2300</v>
      </c>
      <c r="AN15" s="2">
        <f t="shared" si="1"/>
        <v>2300</v>
      </c>
      <c r="AO15" s="2">
        <f t="shared" si="1"/>
        <v>2300</v>
      </c>
      <c r="AP15" s="2">
        <f t="shared" si="1"/>
        <v>2300</v>
      </c>
      <c r="AQ15" s="2">
        <f t="shared" si="1"/>
        <v>2300</v>
      </c>
      <c r="AR15" s="2">
        <f t="shared" si="1"/>
        <v>2300</v>
      </c>
      <c r="AS15" s="2">
        <f t="shared" si="1"/>
        <v>2300</v>
      </c>
      <c r="AT15" s="2">
        <f t="shared" si="1"/>
        <v>2300</v>
      </c>
      <c r="AU15" s="2">
        <f t="shared" si="1"/>
        <v>2300</v>
      </c>
      <c r="AV15" s="2">
        <f t="shared" si="1"/>
        <v>2300</v>
      </c>
      <c r="AW15" s="2">
        <f t="shared" si="1"/>
        <v>2300</v>
      </c>
      <c r="AX15" s="2">
        <f t="shared" si="1"/>
        <v>2300</v>
      </c>
      <c r="AY15" s="2">
        <f t="shared" si="1"/>
        <v>2300</v>
      </c>
      <c r="AZ15" s="2">
        <f t="shared" si="1"/>
        <v>2300</v>
      </c>
      <c r="BA15" s="2">
        <f t="shared" si="1"/>
        <v>2300</v>
      </c>
      <c r="BB15" s="2">
        <f t="shared" si="1"/>
        <v>2300</v>
      </c>
      <c r="BC15" s="2">
        <f t="shared" si="1"/>
        <v>2300</v>
      </c>
      <c r="BD15" s="2">
        <f t="shared" si="1"/>
        <v>2300</v>
      </c>
      <c r="BE15" s="2">
        <f t="shared" si="1"/>
        <v>2300</v>
      </c>
      <c r="BF15" s="2">
        <f t="shared" si="1"/>
        <v>2300</v>
      </c>
      <c r="BG15" s="2">
        <f t="shared" si="1"/>
        <v>2300</v>
      </c>
      <c r="BH15" s="2">
        <f t="shared" si="1"/>
        <v>2300</v>
      </c>
      <c r="BI15" s="2">
        <f t="shared" si="1"/>
        <v>2300</v>
      </c>
      <c r="BJ15" s="2">
        <f t="shared" si="1"/>
        <v>2300</v>
      </c>
      <c r="BK15" s="2">
        <f t="shared" si="1"/>
        <v>2300</v>
      </c>
      <c r="BL15" s="2">
        <f t="shared" si="1"/>
        <v>2300</v>
      </c>
      <c r="BM15" s="2">
        <f t="shared" si="1"/>
        <v>2300</v>
      </c>
      <c r="BN15" s="2">
        <f t="shared" si="1"/>
        <v>2300</v>
      </c>
      <c r="BO15" s="2">
        <f t="shared" si="1"/>
        <v>2300</v>
      </c>
      <c r="BP15" s="2">
        <f t="shared" si="1"/>
        <v>2300</v>
      </c>
      <c r="BQ15" s="2">
        <f t="shared" si="1"/>
        <v>2300</v>
      </c>
      <c r="BR15" s="2">
        <f t="shared" ref="BR15:BY15" si="2" xml:space="preserve"> BR$12</f>
        <v>2300</v>
      </c>
      <c r="BS15" s="2">
        <f t="shared" si="2"/>
        <v>0</v>
      </c>
      <c r="BT15" s="2">
        <f t="shared" si="2"/>
        <v>0</v>
      </c>
      <c r="BU15" s="2">
        <f t="shared" si="2"/>
        <v>0</v>
      </c>
      <c r="BV15" s="2">
        <f t="shared" si="2"/>
        <v>0</v>
      </c>
      <c r="BW15" s="2">
        <f t="shared" si="2"/>
        <v>0</v>
      </c>
      <c r="BX15" s="2">
        <f t="shared" si="2"/>
        <v>0</v>
      </c>
      <c r="BY15" s="2">
        <f t="shared" si="2"/>
        <v>0</v>
      </c>
    </row>
    <row r="16" spans="1:77" x14ac:dyDescent="0.2">
      <c r="E16" s="2" t="s">
        <v>27</v>
      </c>
      <c r="G16" s="2" t="s">
        <v>26</v>
      </c>
      <c r="H16" s="2">
        <f xml:space="preserve"> SUM(J16:BY16)</f>
        <v>2387400</v>
      </c>
      <c r="J16" s="2">
        <f xml:space="preserve"> $F14 * J15</f>
        <v>0</v>
      </c>
      <c r="K16" s="2">
        <f t="shared" ref="K16:BV16" si="3" xml:space="preserve"> $F14 * K15</f>
        <v>39790</v>
      </c>
      <c r="L16" s="2">
        <f t="shared" si="3"/>
        <v>39790</v>
      </c>
      <c r="M16" s="2">
        <f t="shared" si="3"/>
        <v>39790</v>
      </c>
      <c r="N16" s="2">
        <f t="shared" si="3"/>
        <v>39790</v>
      </c>
      <c r="O16" s="2">
        <f t="shared" si="3"/>
        <v>39790</v>
      </c>
      <c r="P16" s="2">
        <f t="shared" si="3"/>
        <v>39790</v>
      </c>
      <c r="Q16" s="2">
        <f t="shared" si="3"/>
        <v>39790</v>
      </c>
      <c r="R16" s="2">
        <f t="shared" si="3"/>
        <v>39790</v>
      </c>
      <c r="S16" s="2">
        <f t="shared" si="3"/>
        <v>39790</v>
      </c>
      <c r="T16" s="2">
        <f t="shared" si="3"/>
        <v>39790</v>
      </c>
      <c r="U16" s="2">
        <f t="shared" si="3"/>
        <v>39790</v>
      </c>
      <c r="V16" s="2">
        <f t="shared" si="3"/>
        <v>39790</v>
      </c>
      <c r="W16" s="2">
        <f t="shared" si="3"/>
        <v>39790</v>
      </c>
      <c r="X16" s="2">
        <f t="shared" si="3"/>
        <v>39790</v>
      </c>
      <c r="Y16" s="2">
        <f t="shared" si="3"/>
        <v>39790</v>
      </c>
      <c r="Z16" s="2">
        <f t="shared" si="3"/>
        <v>39790</v>
      </c>
      <c r="AA16" s="2">
        <f t="shared" si="3"/>
        <v>39790</v>
      </c>
      <c r="AB16" s="2">
        <f t="shared" si="3"/>
        <v>39790</v>
      </c>
      <c r="AC16" s="2">
        <f t="shared" si="3"/>
        <v>39790</v>
      </c>
      <c r="AD16" s="2">
        <f t="shared" si="3"/>
        <v>39790</v>
      </c>
      <c r="AE16" s="2">
        <f t="shared" si="3"/>
        <v>39790</v>
      </c>
      <c r="AF16" s="2">
        <f t="shared" si="3"/>
        <v>39790</v>
      </c>
      <c r="AG16" s="2">
        <f t="shared" si="3"/>
        <v>39790</v>
      </c>
      <c r="AH16" s="2">
        <f t="shared" si="3"/>
        <v>39790</v>
      </c>
      <c r="AI16" s="2">
        <f t="shared" si="3"/>
        <v>39790</v>
      </c>
      <c r="AJ16" s="2">
        <f t="shared" si="3"/>
        <v>39790</v>
      </c>
      <c r="AK16" s="2">
        <f t="shared" si="3"/>
        <v>39790</v>
      </c>
      <c r="AL16" s="2">
        <f t="shared" si="3"/>
        <v>39790</v>
      </c>
      <c r="AM16" s="2">
        <f t="shared" si="3"/>
        <v>39790</v>
      </c>
      <c r="AN16" s="2">
        <f t="shared" si="3"/>
        <v>39790</v>
      </c>
      <c r="AO16" s="2">
        <f t="shared" si="3"/>
        <v>39790</v>
      </c>
      <c r="AP16" s="2">
        <f t="shared" si="3"/>
        <v>39790</v>
      </c>
      <c r="AQ16" s="2">
        <f t="shared" si="3"/>
        <v>39790</v>
      </c>
      <c r="AR16" s="2">
        <f t="shared" si="3"/>
        <v>39790</v>
      </c>
      <c r="AS16" s="2">
        <f t="shared" si="3"/>
        <v>39790</v>
      </c>
      <c r="AT16" s="2">
        <f t="shared" si="3"/>
        <v>39790</v>
      </c>
      <c r="AU16" s="2">
        <f t="shared" si="3"/>
        <v>39790</v>
      </c>
      <c r="AV16" s="2">
        <f t="shared" si="3"/>
        <v>39790</v>
      </c>
      <c r="AW16" s="2">
        <f t="shared" si="3"/>
        <v>39790</v>
      </c>
      <c r="AX16" s="2">
        <f t="shared" si="3"/>
        <v>39790</v>
      </c>
      <c r="AY16" s="2">
        <f t="shared" si="3"/>
        <v>39790</v>
      </c>
      <c r="AZ16" s="2">
        <f t="shared" si="3"/>
        <v>39790</v>
      </c>
      <c r="BA16" s="2">
        <f t="shared" si="3"/>
        <v>39790</v>
      </c>
      <c r="BB16" s="2">
        <f t="shared" si="3"/>
        <v>39790</v>
      </c>
      <c r="BC16" s="2">
        <f t="shared" si="3"/>
        <v>39790</v>
      </c>
      <c r="BD16" s="2">
        <f t="shared" si="3"/>
        <v>39790</v>
      </c>
      <c r="BE16" s="2">
        <f t="shared" si="3"/>
        <v>39790</v>
      </c>
      <c r="BF16" s="2">
        <f t="shared" si="3"/>
        <v>39790</v>
      </c>
      <c r="BG16" s="2">
        <f t="shared" si="3"/>
        <v>39790</v>
      </c>
      <c r="BH16" s="2">
        <f t="shared" si="3"/>
        <v>39790</v>
      </c>
      <c r="BI16" s="2">
        <f t="shared" si="3"/>
        <v>39790</v>
      </c>
      <c r="BJ16" s="2">
        <f t="shared" si="3"/>
        <v>39790</v>
      </c>
      <c r="BK16" s="2">
        <f t="shared" si="3"/>
        <v>39790</v>
      </c>
      <c r="BL16" s="2">
        <f t="shared" si="3"/>
        <v>39790</v>
      </c>
      <c r="BM16" s="2">
        <f t="shared" si="3"/>
        <v>39790</v>
      </c>
      <c r="BN16" s="2">
        <f t="shared" si="3"/>
        <v>39790</v>
      </c>
      <c r="BO16" s="2">
        <f t="shared" si="3"/>
        <v>39790</v>
      </c>
      <c r="BP16" s="2">
        <f t="shared" si="3"/>
        <v>39790</v>
      </c>
      <c r="BQ16" s="2">
        <f t="shared" si="3"/>
        <v>39790</v>
      </c>
      <c r="BR16" s="2">
        <f t="shared" si="3"/>
        <v>39790</v>
      </c>
      <c r="BS16" s="2">
        <f t="shared" si="3"/>
        <v>0</v>
      </c>
      <c r="BT16" s="2">
        <f t="shared" si="3"/>
        <v>0</v>
      </c>
      <c r="BU16" s="2">
        <f t="shared" si="3"/>
        <v>0</v>
      </c>
      <c r="BV16" s="2">
        <f t="shared" si="3"/>
        <v>0</v>
      </c>
      <c r="BW16" s="2">
        <f xml:space="preserve"> $F14 * BW15</f>
        <v>0</v>
      </c>
      <c r="BX16" s="2">
        <f xml:space="preserve"> $F14 * BX15</f>
        <v>0</v>
      </c>
      <c r="BY16" s="2">
        <f xml:space="preserve"> $F14 * BY15</f>
        <v>0</v>
      </c>
    </row>
    <row r="18" spans="1:81" x14ac:dyDescent="0.2">
      <c r="B18" s="5" t="s">
        <v>28</v>
      </c>
    </row>
    <row r="19" spans="1:81" x14ac:dyDescent="0.2">
      <c r="E19" s="2" t="s">
        <v>29</v>
      </c>
      <c r="F19" s="48">
        <v>24</v>
      </c>
      <c r="G19" s="2" t="s">
        <v>30</v>
      </c>
    </row>
    <row r="20" spans="1:81" s="138" customFormat="1" x14ac:dyDescent="0.2">
      <c r="A20" s="135"/>
      <c r="B20" s="120"/>
      <c r="C20" s="136"/>
      <c r="D20" s="137"/>
      <c r="E20" s="138" t="str">
        <f xml:space="preserve"> Time!E$62</f>
        <v>Days in period</v>
      </c>
      <c r="F20" s="138">
        <f xml:space="preserve"> Time!F$62</f>
        <v>0</v>
      </c>
      <c r="G20" s="138" t="str">
        <f xml:space="preserve"> Time!G$62</f>
        <v>days</v>
      </c>
      <c r="H20" s="138">
        <f xml:space="preserve"> Time!H$62</f>
        <v>0</v>
      </c>
      <c r="I20" s="138">
        <f xml:space="preserve"> Time!I$62</f>
        <v>0</v>
      </c>
      <c r="J20" s="138">
        <f xml:space="preserve"> Time!J$62</f>
        <v>0</v>
      </c>
      <c r="K20" s="138">
        <f xml:space="preserve"> Time!K$62</f>
        <v>30</v>
      </c>
      <c r="L20" s="138">
        <f xml:space="preserve"> Time!L$62</f>
        <v>31</v>
      </c>
      <c r="M20" s="138">
        <f xml:space="preserve"> Time!M$62</f>
        <v>31</v>
      </c>
      <c r="N20" s="138">
        <f xml:space="preserve"> Time!N$62</f>
        <v>30</v>
      </c>
      <c r="O20" s="138">
        <f xml:space="preserve"> Time!O$62</f>
        <v>31</v>
      </c>
      <c r="P20" s="138">
        <f xml:space="preserve"> Time!P$62</f>
        <v>30</v>
      </c>
      <c r="Q20" s="138">
        <f xml:space="preserve"> Time!Q$62</f>
        <v>31</v>
      </c>
      <c r="R20" s="138">
        <f xml:space="preserve"> Time!R$62</f>
        <v>31</v>
      </c>
      <c r="S20" s="138">
        <f xml:space="preserve"> Time!S$62</f>
        <v>29</v>
      </c>
      <c r="T20" s="138">
        <f xml:space="preserve"> Time!T$62</f>
        <v>31</v>
      </c>
      <c r="U20" s="138">
        <f xml:space="preserve"> Time!U$62</f>
        <v>30</v>
      </c>
      <c r="V20" s="138">
        <f xml:space="preserve"> Time!V$62</f>
        <v>31</v>
      </c>
      <c r="W20" s="138">
        <f xml:space="preserve"> Time!W$62</f>
        <v>30</v>
      </c>
      <c r="X20" s="138">
        <f xml:space="preserve"> Time!X$62</f>
        <v>31</v>
      </c>
      <c r="Y20" s="138">
        <f xml:space="preserve"> Time!Y$62</f>
        <v>31</v>
      </c>
      <c r="Z20" s="138">
        <f xml:space="preserve"> Time!Z$62</f>
        <v>30</v>
      </c>
      <c r="AA20" s="138">
        <f xml:space="preserve"> Time!AA$62</f>
        <v>31</v>
      </c>
      <c r="AB20" s="138">
        <f xml:space="preserve"> Time!AB$62</f>
        <v>30</v>
      </c>
      <c r="AC20" s="138">
        <f xml:space="preserve"> Time!AC$62</f>
        <v>31</v>
      </c>
      <c r="AD20" s="138">
        <f xml:space="preserve"> Time!AD$62</f>
        <v>31</v>
      </c>
      <c r="AE20" s="138">
        <f xml:space="preserve"> Time!AE$62</f>
        <v>28</v>
      </c>
      <c r="AF20" s="138">
        <f xml:space="preserve"> Time!AF$62</f>
        <v>31</v>
      </c>
      <c r="AG20" s="138">
        <f xml:space="preserve"> Time!AG$62</f>
        <v>30</v>
      </c>
      <c r="AH20" s="138">
        <f xml:space="preserve"> Time!AH$62</f>
        <v>31</v>
      </c>
      <c r="AI20" s="138">
        <f xml:space="preserve"> Time!AI$62</f>
        <v>30</v>
      </c>
      <c r="AJ20" s="138">
        <f xml:space="preserve"> Time!AJ$62</f>
        <v>31</v>
      </c>
      <c r="AK20" s="138">
        <f xml:space="preserve"> Time!AK$62</f>
        <v>31</v>
      </c>
      <c r="AL20" s="138">
        <f xml:space="preserve"> Time!AL$62</f>
        <v>30</v>
      </c>
      <c r="AM20" s="138">
        <f xml:space="preserve"> Time!AM$62</f>
        <v>31</v>
      </c>
      <c r="AN20" s="138">
        <f xml:space="preserve"> Time!AN$62</f>
        <v>30</v>
      </c>
      <c r="AO20" s="138">
        <f xml:space="preserve"> Time!AO$62</f>
        <v>31</v>
      </c>
      <c r="AP20" s="138">
        <f xml:space="preserve"> Time!AP$62</f>
        <v>31</v>
      </c>
      <c r="AQ20" s="138">
        <f xml:space="preserve"> Time!AQ$62</f>
        <v>28</v>
      </c>
      <c r="AR20" s="138">
        <f xml:space="preserve"> Time!AR$62</f>
        <v>31</v>
      </c>
      <c r="AS20" s="138">
        <f xml:space="preserve"> Time!AS$62</f>
        <v>30</v>
      </c>
      <c r="AT20" s="138">
        <f xml:space="preserve"> Time!AT$62</f>
        <v>31</v>
      </c>
      <c r="AU20" s="138">
        <f xml:space="preserve"> Time!AU$62</f>
        <v>30</v>
      </c>
      <c r="AV20" s="138">
        <f xml:space="preserve"> Time!AV$62</f>
        <v>31</v>
      </c>
      <c r="AW20" s="138">
        <f xml:space="preserve"> Time!AW$62</f>
        <v>31</v>
      </c>
      <c r="AX20" s="138">
        <f xml:space="preserve"> Time!AX$62</f>
        <v>30</v>
      </c>
      <c r="AY20" s="138">
        <f xml:space="preserve"> Time!AY$62</f>
        <v>31</v>
      </c>
      <c r="AZ20" s="138">
        <f xml:space="preserve"> Time!AZ$62</f>
        <v>30</v>
      </c>
      <c r="BA20" s="138">
        <f xml:space="preserve"> Time!BA$62</f>
        <v>31</v>
      </c>
      <c r="BB20" s="138">
        <f xml:space="preserve"> Time!BB$62</f>
        <v>31</v>
      </c>
      <c r="BC20" s="138">
        <f xml:space="preserve"> Time!BC$62</f>
        <v>28</v>
      </c>
      <c r="BD20" s="138">
        <f xml:space="preserve"> Time!BD$62</f>
        <v>31</v>
      </c>
      <c r="BE20" s="138">
        <f xml:space="preserve"> Time!BE$62</f>
        <v>30</v>
      </c>
      <c r="BF20" s="138">
        <f xml:space="preserve"> Time!BF$62</f>
        <v>31</v>
      </c>
      <c r="BG20" s="138">
        <f xml:space="preserve"> Time!BG$62</f>
        <v>30</v>
      </c>
      <c r="BH20" s="138">
        <f xml:space="preserve"> Time!BH$62</f>
        <v>31</v>
      </c>
      <c r="BI20" s="138">
        <f xml:space="preserve"> Time!BI$62</f>
        <v>31</v>
      </c>
      <c r="BJ20" s="138">
        <f xml:space="preserve"> Time!BJ$62</f>
        <v>30</v>
      </c>
      <c r="BK20" s="138">
        <f xml:space="preserve"> Time!BK$62</f>
        <v>31</v>
      </c>
      <c r="BL20" s="138">
        <f xml:space="preserve"> Time!BL$62</f>
        <v>30</v>
      </c>
      <c r="BM20" s="138">
        <f xml:space="preserve"> Time!BM$62</f>
        <v>31</v>
      </c>
      <c r="BN20" s="138">
        <f xml:space="preserve"> Time!BN$62</f>
        <v>31</v>
      </c>
      <c r="BO20" s="138">
        <f xml:space="preserve"> Time!BO$62</f>
        <v>29</v>
      </c>
      <c r="BP20" s="138">
        <f xml:space="preserve"> Time!BP$62</f>
        <v>31</v>
      </c>
      <c r="BQ20" s="138">
        <f xml:space="preserve"> Time!BQ$62</f>
        <v>30</v>
      </c>
      <c r="BR20" s="138">
        <f xml:space="preserve"> Time!BR$62</f>
        <v>31</v>
      </c>
      <c r="BS20" s="138">
        <f xml:space="preserve"> Time!BS$62</f>
        <v>30</v>
      </c>
      <c r="BT20" s="138">
        <f xml:space="preserve"> Time!BT$62</f>
        <v>31</v>
      </c>
      <c r="BU20" s="138">
        <f xml:space="preserve"> Time!BU$62</f>
        <v>31</v>
      </c>
      <c r="BV20" s="138">
        <f xml:space="preserve"> Time!BV$62</f>
        <v>30</v>
      </c>
      <c r="BW20" s="138">
        <f xml:space="preserve"> Time!BW$62</f>
        <v>31</v>
      </c>
      <c r="BX20" s="138">
        <f xml:space="preserve"> Time!BX$62</f>
        <v>30</v>
      </c>
      <c r="BY20" s="138">
        <f xml:space="preserve"> Time!BY$62</f>
        <v>31</v>
      </c>
    </row>
    <row r="21" spans="1:81" x14ac:dyDescent="0.2">
      <c r="E21" s="2" t="s">
        <v>31</v>
      </c>
      <c r="G21" s="2" t="s">
        <v>30</v>
      </c>
      <c r="H21" s="2">
        <f>SUM(J21:BY21)</f>
        <v>48984</v>
      </c>
      <c r="J21" s="2">
        <f xml:space="preserve"> $F19 * J20</f>
        <v>0</v>
      </c>
      <c r="K21" s="2">
        <f t="shared" ref="K21:BV21" si="4" xml:space="preserve"> $F19 * K20</f>
        <v>720</v>
      </c>
      <c r="L21" s="2">
        <f t="shared" si="4"/>
        <v>744</v>
      </c>
      <c r="M21" s="2">
        <f t="shared" si="4"/>
        <v>744</v>
      </c>
      <c r="N21" s="2">
        <f t="shared" si="4"/>
        <v>720</v>
      </c>
      <c r="O21" s="2">
        <f t="shared" si="4"/>
        <v>744</v>
      </c>
      <c r="P21" s="2">
        <f t="shared" si="4"/>
        <v>720</v>
      </c>
      <c r="Q21" s="2">
        <f t="shared" si="4"/>
        <v>744</v>
      </c>
      <c r="R21" s="2">
        <f t="shared" si="4"/>
        <v>744</v>
      </c>
      <c r="S21" s="2">
        <f t="shared" si="4"/>
        <v>696</v>
      </c>
      <c r="T21" s="2">
        <f t="shared" si="4"/>
        <v>744</v>
      </c>
      <c r="U21" s="2">
        <f t="shared" si="4"/>
        <v>720</v>
      </c>
      <c r="V21" s="2">
        <f t="shared" si="4"/>
        <v>744</v>
      </c>
      <c r="W21" s="2">
        <f t="shared" si="4"/>
        <v>720</v>
      </c>
      <c r="X21" s="2">
        <f t="shared" si="4"/>
        <v>744</v>
      </c>
      <c r="Y21" s="2">
        <f t="shared" si="4"/>
        <v>744</v>
      </c>
      <c r="Z21" s="2">
        <f t="shared" si="4"/>
        <v>720</v>
      </c>
      <c r="AA21" s="2">
        <f t="shared" si="4"/>
        <v>744</v>
      </c>
      <c r="AB21" s="2">
        <f t="shared" si="4"/>
        <v>720</v>
      </c>
      <c r="AC21" s="2">
        <f t="shared" si="4"/>
        <v>744</v>
      </c>
      <c r="AD21" s="2">
        <f t="shared" si="4"/>
        <v>744</v>
      </c>
      <c r="AE21" s="2">
        <f t="shared" si="4"/>
        <v>672</v>
      </c>
      <c r="AF21" s="2">
        <f t="shared" si="4"/>
        <v>744</v>
      </c>
      <c r="AG21" s="2">
        <f t="shared" si="4"/>
        <v>720</v>
      </c>
      <c r="AH21" s="2">
        <f t="shared" si="4"/>
        <v>744</v>
      </c>
      <c r="AI21" s="2">
        <f t="shared" si="4"/>
        <v>720</v>
      </c>
      <c r="AJ21" s="2">
        <f t="shared" si="4"/>
        <v>744</v>
      </c>
      <c r="AK21" s="2">
        <f t="shared" si="4"/>
        <v>744</v>
      </c>
      <c r="AL21" s="2">
        <f t="shared" si="4"/>
        <v>720</v>
      </c>
      <c r="AM21" s="2">
        <f t="shared" si="4"/>
        <v>744</v>
      </c>
      <c r="AN21" s="2">
        <f t="shared" si="4"/>
        <v>720</v>
      </c>
      <c r="AO21" s="2">
        <f t="shared" si="4"/>
        <v>744</v>
      </c>
      <c r="AP21" s="2">
        <f t="shared" si="4"/>
        <v>744</v>
      </c>
      <c r="AQ21" s="2">
        <f t="shared" si="4"/>
        <v>672</v>
      </c>
      <c r="AR21" s="2">
        <f t="shared" si="4"/>
        <v>744</v>
      </c>
      <c r="AS21" s="2">
        <f t="shared" si="4"/>
        <v>720</v>
      </c>
      <c r="AT21" s="2">
        <f t="shared" si="4"/>
        <v>744</v>
      </c>
      <c r="AU21" s="2">
        <f t="shared" si="4"/>
        <v>720</v>
      </c>
      <c r="AV21" s="2">
        <f t="shared" si="4"/>
        <v>744</v>
      </c>
      <c r="AW21" s="2">
        <f t="shared" si="4"/>
        <v>744</v>
      </c>
      <c r="AX21" s="2">
        <f t="shared" si="4"/>
        <v>720</v>
      </c>
      <c r="AY21" s="2">
        <f t="shared" si="4"/>
        <v>744</v>
      </c>
      <c r="AZ21" s="2">
        <f t="shared" si="4"/>
        <v>720</v>
      </c>
      <c r="BA21" s="2">
        <f t="shared" si="4"/>
        <v>744</v>
      </c>
      <c r="BB21" s="2">
        <f t="shared" si="4"/>
        <v>744</v>
      </c>
      <c r="BC21" s="2">
        <f t="shared" si="4"/>
        <v>672</v>
      </c>
      <c r="BD21" s="2">
        <f t="shared" si="4"/>
        <v>744</v>
      </c>
      <c r="BE21" s="2">
        <f t="shared" si="4"/>
        <v>720</v>
      </c>
      <c r="BF21" s="2">
        <f t="shared" si="4"/>
        <v>744</v>
      </c>
      <c r="BG21" s="2">
        <f t="shared" si="4"/>
        <v>720</v>
      </c>
      <c r="BH21" s="2">
        <f t="shared" si="4"/>
        <v>744</v>
      </c>
      <c r="BI21" s="2">
        <f t="shared" si="4"/>
        <v>744</v>
      </c>
      <c r="BJ21" s="2">
        <f t="shared" si="4"/>
        <v>720</v>
      </c>
      <c r="BK21" s="2">
        <f t="shared" si="4"/>
        <v>744</v>
      </c>
      <c r="BL21" s="2">
        <f t="shared" si="4"/>
        <v>720</v>
      </c>
      <c r="BM21" s="2">
        <f t="shared" si="4"/>
        <v>744</v>
      </c>
      <c r="BN21" s="2">
        <f t="shared" si="4"/>
        <v>744</v>
      </c>
      <c r="BO21" s="2">
        <f t="shared" si="4"/>
        <v>696</v>
      </c>
      <c r="BP21" s="2">
        <f t="shared" si="4"/>
        <v>744</v>
      </c>
      <c r="BQ21" s="2">
        <f t="shared" si="4"/>
        <v>720</v>
      </c>
      <c r="BR21" s="2">
        <f t="shared" si="4"/>
        <v>744</v>
      </c>
      <c r="BS21" s="2">
        <f t="shared" si="4"/>
        <v>720</v>
      </c>
      <c r="BT21" s="2">
        <f t="shared" si="4"/>
        <v>744</v>
      </c>
      <c r="BU21" s="2">
        <f t="shared" si="4"/>
        <v>744</v>
      </c>
      <c r="BV21" s="2">
        <f t="shared" si="4"/>
        <v>720</v>
      </c>
      <c r="BW21" s="2">
        <f xml:space="preserve"> $F19 * BW20</f>
        <v>744</v>
      </c>
      <c r="BX21" s="2">
        <f xml:space="preserve"> $F19 * BX20</f>
        <v>720</v>
      </c>
      <c r="BY21" s="2">
        <f xml:space="preserve"> $F19 * BY20</f>
        <v>744</v>
      </c>
    </row>
    <row r="23" spans="1:81" x14ac:dyDescent="0.2">
      <c r="E23" s="2" t="s">
        <v>33</v>
      </c>
      <c r="F23" s="48">
        <v>3</v>
      </c>
      <c r="G23" s="2" t="s">
        <v>22</v>
      </c>
    </row>
    <row r="24" spans="1:81" x14ac:dyDescent="0.2">
      <c r="E24" s="2" t="str">
        <f xml:space="preserve"> E$21</f>
        <v>Hours in period</v>
      </c>
      <c r="F24" s="2">
        <f t="shared" ref="F24:BQ24" si="5" xml:space="preserve"> F$21</f>
        <v>0</v>
      </c>
      <c r="G24" s="2" t="str">
        <f t="shared" si="5"/>
        <v>hours</v>
      </c>
      <c r="H24" s="2">
        <f t="shared" si="5"/>
        <v>48984</v>
      </c>
      <c r="I24" s="2">
        <f t="shared" si="5"/>
        <v>0</v>
      </c>
      <c r="J24" s="2">
        <f t="shared" si="5"/>
        <v>0</v>
      </c>
      <c r="K24" s="2">
        <f t="shared" si="5"/>
        <v>720</v>
      </c>
      <c r="L24" s="2">
        <f t="shared" si="5"/>
        <v>744</v>
      </c>
      <c r="M24" s="2">
        <f t="shared" si="5"/>
        <v>744</v>
      </c>
      <c r="N24" s="2">
        <f t="shared" si="5"/>
        <v>720</v>
      </c>
      <c r="O24" s="2">
        <f t="shared" si="5"/>
        <v>744</v>
      </c>
      <c r="P24" s="2">
        <f t="shared" si="5"/>
        <v>720</v>
      </c>
      <c r="Q24" s="2">
        <f t="shared" si="5"/>
        <v>744</v>
      </c>
      <c r="R24" s="2">
        <f t="shared" si="5"/>
        <v>744</v>
      </c>
      <c r="S24" s="2">
        <f t="shared" si="5"/>
        <v>696</v>
      </c>
      <c r="T24" s="2">
        <f t="shared" si="5"/>
        <v>744</v>
      </c>
      <c r="U24" s="2">
        <f t="shared" si="5"/>
        <v>720</v>
      </c>
      <c r="V24" s="2">
        <f t="shared" si="5"/>
        <v>744</v>
      </c>
      <c r="W24" s="2">
        <f t="shared" si="5"/>
        <v>720</v>
      </c>
      <c r="X24" s="2">
        <f t="shared" si="5"/>
        <v>744</v>
      </c>
      <c r="Y24" s="2">
        <f t="shared" si="5"/>
        <v>744</v>
      </c>
      <c r="Z24" s="2">
        <f t="shared" si="5"/>
        <v>720</v>
      </c>
      <c r="AA24" s="2">
        <f t="shared" si="5"/>
        <v>744</v>
      </c>
      <c r="AB24" s="2">
        <f t="shared" si="5"/>
        <v>720</v>
      </c>
      <c r="AC24" s="2">
        <f t="shared" si="5"/>
        <v>744</v>
      </c>
      <c r="AD24" s="2">
        <f t="shared" si="5"/>
        <v>744</v>
      </c>
      <c r="AE24" s="2">
        <f t="shared" si="5"/>
        <v>672</v>
      </c>
      <c r="AF24" s="2">
        <f t="shared" si="5"/>
        <v>744</v>
      </c>
      <c r="AG24" s="2">
        <f t="shared" si="5"/>
        <v>720</v>
      </c>
      <c r="AH24" s="2">
        <f t="shared" si="5"/>
        <v>744</v>
      </c>
      <c r="AI24" s="2">
        <f t="shared" si="5"/>
        <v>720</v>
      </c>
      <c r="AJ24" s="2">
        <f t="shared" si="5"/>
        <v>744</v>
      </c>
      <c r="AK24" s="2">
        <f t="shared" si="5"/>
        <v>744</v>
      </c>
      <c r="AL24" s="2">
        <f t="shared" si="5"/>
        <v>720</v>
      </c>
      <c r="AM24" s="2">
        <f t="shared" si="5"/>
        <v>744</v>
      </c>
      <c r="AN24" s="2">
        <f t="shared" si="5"/>
        <v>720</v>
      </c>
      <c r="AO24" s="2">
        <f t="shared" si="5"/>
        <v>744</v>
      </c>
      <c r="AP24" s="2">
        <f t="shared" si="5"/>
        <v>744</v>
      </c>
      <c r="AQ24" s="2">
        <f t="shared" si="5"/>
        <v>672</v>
      </c>
      <c r="AR24" s="2">
        <f t="shared" si="5"/>
        <v>744</v>
      </c>
      <c r="AS24" s="2">
        <f t="shared" si="5"/>
        <v>720</v>
      </c>
      <c r="AT24" s="2">
        <f t="shared" si="5"/>
        <v>744</v>
      </c>
      <c r="AU24" s="2">
        <f t="shared" si="5"/>
        <v>720</v>
      </c>
      <c r="AV24" s="2">
        <f t="shared" si="5"/>
        <v>744</v>
      </c>
      <c r="AW24" s="2">
        <f t="shared" si="5"/>
        <v>744</v>
      </c>
      <c r="AX24" s="2">
        <f t="shared" si="5"/>
        <v>720</v>
      </c>
      <c r="AY24" s="2">
        <f t="shared" si="5"/>
        <v>744</v>
      </c>
      <c r="AZ24" s="2">
        <f t="shared" si="5"/>
        <v>720</v>
      </c>
      <c r="BA24" s="2">
        <f t="shared" si="5"/>
        <v>744</v>
      </c>
      <c r="BB24" s="2">
        <f t="shared" si="5"/>
        <v>744</v>
      </c>
      <c r="BC24" s="2">
        <f t="shared" si="5"/>
        <v>672</v>
      </c>
      <c r="BD24" s="2">
        <f t="shared" si="5"/>
        <v>744</v>
      </c>
      <c r="BE24" s="2">
        <f t="shared" si="5"/>
        <v>720</v>
      </c>
      <c r="BF24" s="2">
        <f t="shared" si="5"/>
        <v>744</v>
      </c>
      <c r="BG24" s="2">
        <f t="shared" si="5"/>
        <v>720</v>
      </c>
      <c r="BH24" s="2">
        <f t="shared" si="5"/>
        <v>744</v>
      </c>
      <c r="BI24" s="2">
        <f t="shared" si="5"/>
        <v>744</v>
      </c>
      <c r="BJ24" s="2">
        <f t="shared" si="5"/>
        <v>720</v>
      </c>
      <c r="BK24" s="2">
        <f t="shared" si="5"/>
        <v>744</v>
      </c>
      <c r="BL24" s="2">
        <f t="shared" si="5"/>
        <v>720</v>
      </c>
      <c r="BM24" s="2">
        <f t="shared" si="5"/>
        <v>744</v>
      </c>
      <c r="BN24" s="2">
        <f t="shared" si="5"/>
        <v>744</v>
      </c>
      <c r="BO24" s="2">
        <f t="shared" si="5"/>
        <v>696</v>
      </c>
      <c r="BP24" s="2">
        <f t="shared" si="5"/>
        <v>744</v>
      </c>
      <c r="BQ24" s="2">
        <f t="shared" si="5"/>
        <v>720</v>
      </c>
      <c r="BR24" s="2">
        <f t="shared" ref="BR24:BY24" si="6" xml:space="preserve"> BR$21</f>
        <v>744</v>
      </c>
      <c r="BS24" s="2">
        <f t="shared" si="6"/>
        <v>720</v>
      </c>
      <c r="BT24" s="2">
        <f t="shared" si="6"/>
        <v>744</v>
      </c>
      <c r="BU24" s="2">
        <f t="shared" si="6"/>
        <v>744</v>
      </c>
      <c r="BV24" s="2">
        <f t="shared" si="6"/>
        <v>720</v>
      </c>
      <c r="BW24" s="2">
        <f t="shared" si="6"/>
        <v>744</v>
      </c>
      <c r="BX24" s="2">
        <f t="shared" si="6"/>
        <v>720</v>
      </c>
      <c r="BY24" s="2">
        <f t="shared" si="6"/>
        <v>744</v>
      </c>
    </row>
    <row r="25" spans="1:81" s="138" customFormat="1" x14ac:dyDescent="0.2">
      <c r="A25" s="135"/>
      <c r="B25" s="120"/>
      <c r="C25" s="136"/>
      <c r="D25" s="137"/>
      <c r="E25" s="138" t="str">
        <f xml:space="preserve"> Time!E$43</f>
        <v>Forecast period flag</v>
      </c>
      <c r="F25" s="138">
        <f xml:space="preserve"> Time!F$43</f>
        <v>0</v>
      </c>
      <c r="G25" s="138" t="str">
        <f xml:space="preserve"> Time!G$43</f>
        <v>flag</v>
      </c>
      <c r="H25" s="138">
        <f xml:space="preserve"> Time!H$43</f>
        <v>60</v>
      </c>
      <c r="I25" s="138">
        <f xml:space="preserve"> Time!I$43</f>
        <v>0</v>
      </c>
      <c r="J25" s="138">
        <f xml:space="preserve"> Time!J$43</f>
        <v>0</v>
      </c>
      <c r="K25" s="138">
        <f xml:space="preserve"> Time!K$43</f>
        <v>1</v>
      </c>
      <c r="L25" s="138">
        <f xml:space="preserve"> Time!L$43</f>
        <v>1</v>
      </c>
      <c r="M25" s="138">
        <f xml:space="preserve"> Time!M$43</f>
        <v>1</v>
      </c>
      <c r="N25" s="138">
        <f xml:space="preserve"> Time!N$43</f>
        <v>1</v>
      </c>
      <c r="O25" s="138">
        <f xml:space="preserve"> Time!O$43</f>
        <v>1</v>
      </c>
      <c r="P25" s="138">
        <f xml:space="preserve"> Time!P$43</f>
        <v>1</v>
      </c>
      <c r="Q25" s="138">
        <f xml:space="preserve"> Time!Q$43</f>
        <v>1</v>
      </c>
      <c r="R25" s="138">
        <f xml:space="preserve"> Time!R$43</f>
        <v>1</v>
      </c>
      <c r="S25" s="138">
        <f xml:space="preserve"> Time!S$43</f>
        <v>1</v>
      </c>
      <c r="T25" s="138">
        <f xml:space="preserve"> Time!T$43</f>
        <v>1</v>
      </c>
      <c r="U25" s="138">
        <f xml:space="preserve"> Time!U$43</f>
        <v>1</v>
      </c>
      <c r="V25" s="138">
        <f xml:space="preserve"> Time!V$43</f>
        <v>1</v>
      </c>
      <c r="W25" s="138">
        <f xml:space="preserve"> Time!W$43</f>
        <v>1</v>
      </c>
      <c r="X25" s="138">
        <f xml:space="preserve"> Time!X$43</f>
        <v>1</v>
      </c>
      <c r="Y25" s="138">
        <f xml:space="preserve"> Time!Y$43</f>
        <v>1</v>
      </c>
      <c r="Z25" s="138">
        <f xml:space="preserve"> Time!Z$43</f>
        <v>1</v>
      </c>
      <c r="AA25" s="138">
        <f xml:space="preserve"> Time!AA$43</f>
        <v>1</v>
      </c>
      <c r="AB25" s="138">
        <f xml:space="preserve"> Time!AB$43</f>
        <v>1</v>
      </c>
      <c r="AC25" s="138">
        <f xml:space="preserve"> Time!AC$43</f>
        <v>1</v>
      </c>
      <c r="AD25" s="138">
        <f xml:space="preserve"> Time!AD$43</f>
        <v>1</v>
      </c>
      <c r="AE25" s="138">
        <f xml:space="preserve"> Time!AE$43</f>
        <v>1</v>
      </c>
      <c r="AF25" s="138">
        <f xml:space="preserve"> Time!AF$43</f>
        <v>1</v>
      </c>
      <c r="AG25" s="138">
        <f xml:space="preserve"> Time!AG$43</f>
        <v>1</v>
      </c>
      <c r="AH25" s="138">
        <f xml:space="preserve"> Time!AH$43</f>
        <v>1</v>
      </c>
      <c r="AI25" s="138">
        <f xml:space="preserve"> Time!AI$43</f>
        <v>1</v>
      </c>
      <c r="AJ25" s="138">
        <f xml:space="preserve"> Time!AJ$43</f>
        <v>1</v>
      </c>
      <c r="AK25" s="138">
        <f xml:space="preserve"> Time!AK$43</f>
        <v>1</v>
      </c>
      <c r="AL25" s="138">
        <f xml:space="preserve"> Time!AL$43</f>
        <v>1</v>
      </c>
      <c r="AM25" s="138">
        <f xml:space="preserve"> Time!AM$43</f>
        <v>1</v>
      </c>
      <c r="AN25" s="138">
        <f xml:space="preserve"> Time!AN$43</f>
        <v>1</v>
      </c>
      <c r="AO25" s="138">
        <f xml:space="preserve"> Time!AO$43</f>
        <v>1</v>
      </c>
      <c r="AP25" s="138">
        <f xml:space="preserve"> Time!AP$43</f>
        <v>1</v>
      </c>
      <c r="AQ25" s="138">
        <f xml:space="preserve"> Time!AQ$43</f>
        <v>1</v>
      </c>
      <c r="AR25" s="138">
        <f xml:space="preserve"> Time!AR$43</f>
        <v>1</v>
      </c>
      <c r="AS25" s="138">
        <f xml:space="preserve"> Time!AS$43</f>
        <v>1</v>
      </c>
      <c r="AT25" s="138">
        <f xml:space="preserve"> Time!AT$43</f>
        <v>1</v>
      </c>
      <c r="AU25" s="138">
        <f xml:space="preserve"> Time!AU$43</f>
        <v>1</v>
      </c>
      <c r="AV25" s="138">
        <f xml:space="preserve"> Time!AV$43</f>
        <v>1</v>
      </c>
      <c r="AW25" s="138">
        <f xml:space="preserve"> Time!AW$43</f>
        <v>1</v>
      </c>
      <c r="AX25" s="138">
        <f xml:space="preserve"> Time!AX$43</f>
        <v>1</v>
      </c>
      <c r="AY25" s="138">
        <f xml:space="preserve"> Time!AY$43</f>
        <v>1</v>
      </c>
      <c r="AZ25" s="138">
        <f xml:space="preserve"> Time!AZ$43</f>
        <v>1</v>
      </c>
      <c r="BA25" s="138">
        <f xml:space="preserve"> Time!BA$43</f>
        <v>1</v>
      </c>
      <c r="BB25" s="138">
        <f xml:space="preserve"> Time!BB$43</f>
        <v>1</v>
      </c>
      <c r="BC25" s="138">
        <f xml:space="preserve"> Time!BC$43</f>
        <v>1</v>
      </c>
      <c r="BD25" s="138">
        <f xml:space="preserve"> Time!BD$43</f>
        <v>1</v>
      </c>
      <c r="BE25" s="138">
        <f xml:space="preserve"> Time!BE$43</f>
        <v>1</v>
      </c>
      <c r="BF25" s="138">
        <f xml:space="preserve"> Time!BF$43</f>
        <v>1</v>
      </c>
      <c r="BG25" s="138">
        <f xml:space="preserve"> Time!BG$43</f>
        <v>1</v>
      </c>
      <c r="BH25" s="138">
        <f xml:space="preserve"> Time!BH$43</f>
        <v>1</v>
      </c>
      <c r="BI25" s="138">
        <f xml:space="preserve"> Time!BI$43</f>
        <v>1</v>
      </c>
      <c r="BJ25" s="138">
        <f xml:space="preserve"> Time!BJ$43</f>
        <v>1</v>
      </c>
      <c r="BK25" s="138">
        <f xml:space="preserve"> Time!BK$43</f>
        <v>1</v>
      </c>
      <c r="BL25" s="138">
        <f xml:space="preserve"> Time!BL$43</f>
        <v>1</v>
      </c>
      <c r="BM25" s="138">
        <f xml:space="preserve"> Time!BM$43</f>
        <v>1</v>
      </c>
      <c r="BN25" s="138">
        <f xml:space="preserve"> Time!BN$43</f>
        <v>1</v>
      </c>
      <c r="BO25" s="138">
        <f xml:space="preserve"> Time!BO$43</f>
        <v>1</v>
      </c>
      <c r="BP25" s="138">
        <f xml:space="preserve"> Time!BP$43</f>
        <v>1</v>
      </c>
      <c r="BQ25" s="138">
        <f xml:space="preserve"> Time!BQ$43</f>
        <v>1</v>
      </c>
      <c r="BR25" s="138">
        <f xml:space="preserve"> Time!BR$43</f>
        <v>1</v>
      </c>
      <c r="BS25" s="138">
        <f xml:space="preserve"> Time!BS$43</f>
        <v>0</v>
      </c>
      <c r="BT25" s="138">
        <f xml:space="preserve"> Time!BT$43</f>
        <v>0</v>
      </c>
      <c r="BU25" s="138">
        <f xml:space="preserve"> Time!BU$43</f>
        <v>0</v>
      </c>
      <c r="BV25" s="138">
        <f xml:space="preserve"> Time!BV$43</f>
        <v>0</v>
      </c>
      <c r="BW25" s="138">
        <f xml:space="preserve"> Time!BW$43</f>
        <v>0</v>
      </c>
      <c r="BX25" s="138">
        <f xml:space="preserve"> Time!BX$43</f>
        <v>0</v>
      </c>
      <c r="BY25" s="138">
        <f xml:space="preserve"> Time!BY$43</f>
        <v>0</v>
      </c>
    </row>
    <row r="26" spans="1:81" x14ac:dyDescent="0.2">
      <c r="E26" s="2" t="s">
        <v>43</v>
      </c>
      <c r="G26" s="2" t="s">
        <v>22</v>
      </c>
      <c r="H26" s="2">
        <f>SUM(J26:BY26)</f>
        <v>131544</v>
      </c>
      <c r="J26" s="2">
        <f xml:space="preserve"> $F23 * J24 * J25</f>
        <v>0</v>
      </c>
      <c r="K26" s="2">
        <f t="shared" ref="K26:BV26" si="7" xml:space="preserve"> $F23 * K24 * K25</f>
        <v>2160</v>
      </c>
      <c r="L26" s="2">
        <f t="shared" si="7"/>
        <v>2232</v>
      </c>
      <c r="M26" s="2">
        <f t="shared" si="7"/>
        <v>2232</v>
      </c>
      <c r="N26" s="2">
        <f t="shared" si="7"/>
        <v>2160</v>
      </c>
      <c r="O26" s="2">
        <f t="shared" si="7"/>
        <v>2232</v>
      </c>
      <c r="P26" s="2">
        <f t="shared" si="7"/>
        <v>2160</v>
      </c>
      <c r="Q26" s="2">
        <f t="shared" si="7"/>
        <v>2232</v>
      </c>
      <c r="R26" s="2">
        <f t="shared" si="7"/>
        <v>2232</v>
      </c>
      <c r="S26" s="2">
        <f t="shared" si="7"/>
        <v>2088</v>
      </c>
      <c r="T26" s="2">
        <f t="shared" si="7"/>
        <v>2232</v>
      </c>
      <c r="U26" s="2">
        <f t="shared" si="7"/>
        <v>2160</v>
      </c>
      <c r="V26" s="2">
        <f t="shared" si="7"/>
        <v>2232</v>
      </c>
      <c r="W26" s="2">
        <f t="shared" si="7"/>
        <v>2160</v>
      </c>
      <c r="X26" s="2">
        <f t="shared" si="7"/>
        <v>2232</v>
      </c>
      <c r="Y26" s="2">
        <f t="shared" si="7"/>
        <v>2232</v>
      </c>
      <c r="Z26" s="2">
        <f t="shared" si="7"/>
        <v>2160</v>
      </c>
      <c r="AA26" s="2">
        <f t="shared" si="7"/>
        <v>2232</v>
      </c>
      <c r="AB26" s="2">
        <f t="shared" si="7"/>
        <v>2160</v>
      </c>
      <c r="AC26" s="2">
        <f t="shared" si="7"/>
        <v>2232</v>
      </c>
      <c r="AD26" s="2">
        <f t="shared" si="7"/>
        <v>2232</v>
      </c>
      <c r="AE26" s="2">
        <f t="shared" si="7"/>
        <v>2016</v>
      </c>
      <c r="AF26" s="2">
        <f t="shared" si="7"/>
        <v>2232</v>
      </c>
      <c r="AG26" s="2">
        <f t="shared" si="7"/>
        <v>2160</v>
      </c>
      <c r="AH26" s="2">
        <f t="shared" si="7"/>
        <v>2232</v>
      </c>
      <c r="AI26" s="2">
        <f t="shared" si="7"/>
        <v>2160</v>
      </c>
      <c r="AJ26" s="2">
        <f t="shared" si="7"/>
        <v>2232</v>
      </c>
      <c r="AK26" s="2">
        <f t="shared" si="7"/>
        <v>2232</v>
      </c>
      <c r="AL26" s="2">
        <f t="shared" si="7"/>
        <v>2160</v>
      </c>
      <c r="AM26" s="2">
        <f t="shared" si="7"/>
        <v>2232</v>
      </c>
      <c r="AN26" s="2">
        <f t="shared" si="7"/>
        <v>2160</v>
      </c>
      <c r="AO26" s="2">
        <f t="shared" si="7"/>
        <v>2232</v>
      </c>
      <c r="AP26" s="2">
        <f t="shared" si="7"/>
        <v>2232</v>
      </c>
      <c r="AQ26" s="2">
        <f t="shared" si="7"/>
        <v>2016</v>
      </c>
      <c r="AR26" s="2">
        <f t="shared" si="7"/>
        <v>2232</v>
      </c>
      <c r="AS26" s="2">
        <f t="shared" si="7"/>
        <v>2160</v>
      </c>
      <c r="AT26" s="2">
        <f t="shared" si="7"/>
        <v>2232</v>
      </c>
      <c r="AU26" s="2">
        <f t="shared" si="7"/>
        <v>2160</v>
      </c>
      <c r="AV26" s="2">
        <f t="shared" si="7"/>
        <v>2232</v>
      </c>
      <c r="AW26" s="2">
        <f t="shared" si="7"/>
        <v>2232</v>
      </c>
      <c r="AX26" s="2">
        <f t="shared" si="7"/>
        <v>2160</v>
      </c>
      <c r="AY26" s="2">
        <f t="shared" si="7"/>
        <v>2232</v>
      </c>
      <c r="AZ26" s="2">
        <f t="shared" si="7"/>
        <v>2160</v>
      </c>
      <c r="BA26" s="2">
        <f t="shared" si="7"/>
        <v>2232</v>
      </c>
      <c r="BB26" s="2">
        <f t="shared" si="7"/>
        <v>2232</v>
      </c>
      <c r="BC26" s="2">
        <f t="shared" si="7"/>
        <v>2016</v>
      </c>
      <c r="BD26" s="2">
        <f t="shared" si="7"/>
        <v>2232</v>
      </c>
      <c r="BE26" s="2">
        <f t="shared" si="7"/>
        <v>2160</v>
      </c>
      <c r="BF26" s="2">
        <f t="shared" si="7"/>
        <v>2232</v>
      </c>
      <c r="BG26" s="2">
        <f t="shared" si="7"/>
        <v>2160</v>
      </c>
      <c r="BH26" s="2">
        <f t="shared" si="7"/>
        <v>2232</v>
      </c>
      <c r="BI26" s="2">
        <f t="shared" si="7"/>
        <v>2232</v>
      </c>
      <c r="BJ26" s="2">
        <f t="shared" si="7"/>
        <v>2160</v>
      </c>
      <c r="BK26" s="2">
        <f t="shared" si="7"/>
        <v>2232</v>
      </c>
      <c r="BL26" s="2">
        <f t="shared" si="7"/>
        <v>2160</v>
      </c>
      <c r="BM26" s="2">
        <f t="shared" si="7"/>
        <v>2232</v>
      </c>
      <c r="BN26" s="2">
        <f t="shared" si="7"/>
        <v>2232</v>
      </c>
      <c r="BO26" s="2">
        <f t="shared" si="7"/>
        <v>2088</v>
      </c>
      <c r="BP26" s="2">
        <f t="shared" si="7"/>
        <v>2232</v>
      </c>
      <c r="BQ26" s="2">
        <f t="shared" si="7"/>
        <v>2160</v>
      </c>
      <c r="BR26" s="2">
        <f t="shared" si="7"/>
        <v>2232</v>
      </c>
      <c r="BS26" s="2">
        <f t="shared" si="7"/>
        <v>0</v>
      </c>
      <c r="BT26" s="2">
        <f t="shared" si="7"/>
        <v>0</v>
      </c>
      <c r="BU26" s="2">
        <f t="shared" si="7"/>
        <v>0</v>
      </c>
      <c r="BV26" s="2">
        <f t="shared" si="7"/>
        <v>0</v>
      </c>
      <c r="BW26" s="2">
        <f xml:space="preserve"> $F23 * BW24 * BW25</f>
        <v>0</v>
      </c>
      <c r="BX26" s="2">
        <f xml:space="preserve"> $F23 * BX24 * BX25</f>
        <v>0</v>
      </c>
      <c r="BY26" s="2">
        <f xml:space="preserve"> $F23 * BY24 * BY25</f>
        <v>0</v>
      </c>
    </row>
    <row r="27" spans="1:81" s="36" customFormat="1" x14ac:dyDescent="0.2">
      <c r="A27" s="5"/>
      <c r="B27" s="5"/>
      <c r="C27" s="12"/>
      <c r="D27" s="39"/>
    </row>
    <row r="28" spans="1:81" s="149" customFormat="1" x14ac:dyDescent="0.2">
      <c r="E28" s="149" t="s">
        <v>34</v>
      </c>
      <c r="F28" s="150">
        <v>2.1</v>
      </c>
      <c r="G28" s="149" t="s">
        <v>86</v>
      </c>
    </row>
    <row r="29" spans="1:81" x14ac:dyDescent="0.2">
      <c r="E29" s="2" t="str">
        <f xml:space="preserve"> E$26</f>
        <v>Forecast waste processed</v>
      </c>
      <c r="F29" s="2">
        <f t="shared" ref="F29:BQ29" si="8" xml:space="preserve"> F$26</f>
        <v>0</v>
      </c>
      <c r="G29" s="2" t="str">
        <f t="shared" si="8"/>
        <v>tonnes</v>
      </c>
      <c r="H29" s="2">
        <f t="shared" si="8"/>
        <v>131544</v>
      </c>
      <c r="I29" s="2">
        <f t="shared" si="8"/>
        <v>0</v>
      </c>
      <c r="J29" s="2">
        <f t="shared" si="8"/>
        <v>0</v>
      </c>
      <c r="K29" s="2">
        <f t="shared" si="8"/>
        <v>2160</v>
      </c>
      <c r="L29" s="2">
        <f t="shared" si="8"/>
        <v>2232</v>
      </c>
      <c r="M29" s="2">
        <f t="shared" si="8"/>
        <v>2232</v>
      </c>
      <c r="N29" s="2">
        <f t="shared" si="8"/>
        <v>2160</v>
      </c>
      <c r="O29" s="2">
        <f t="shared" si="8"/>
        <v>2232</v>
      </c>
      <c r="P29" s="2">
        <f t="shared" si="8"/>
        <v>2160</v>
      </c>
      <c r="Q29" s="2">
        <f t="shared" si="8"/>
        <v>2232</v>
      </c>
      <c r="R29" s="2">
        <f t="shared" si="8"/>
        <v>2232</v>
      </c>
      <c r="S29" s="2">
        <f t="shared" si="8"/>
        <v>2088</v>
      </c>
      <c r="T29" s="2">
        <f t="shared" si="8"/>
        <v>2232</v>
      </c>
      <c r="U29" s="2">
        <f t="shared" si="8"/>
        <v>2160</v>
      </c>
      <c r="V29" s="2">
        <f t="shared" si="8"/>
        <v>2232</v>
      </c>
      <c r="W29" s="2">
        <f t="shared" si="8"/>
        <v>2160</v>
      </c>
      <c r="X29" s="2">
        <f t="shared" si="8"/>
        <v>2232</v>
      </c>
      <c r="Y29" s="2">
        <f t="shared" si="8"/>
        <v>2232</v>
      </c>
      <c r="Z29" s="2">
        <f t="shared" si="8"/>
        <v>2160</v>
      </c>
      <c r="AA29" s="2">
        <f t="shared" si="8"/>
        <v>2232</v>
      </c>
      <c r="AB29" s="2">
        <f t="shared" si="8"/>
        <v>2160</v>
      </c>
      <c r="AC29" s="2">
        <f t="shared" si="8"/>
        <v>2232</v>
      </c>
      <c r="AD29" s="2">
        <f t="shared" si="8"/>
        <v>2232</v>
      </c>
      <c r="AE29" s="2">
        <f t="shared" si="8"/>
        <v>2016</v>
      </c>
      <c r="AF29" s="2">
        <f t="shared" si="8"/>
        <v>2232</v>
      </c>
      <c r="AG29" s="2">
        <f t="shared" si="8"/>
        <v>2160</v>
      </c>
      <c r="AH29" s="2">
        <f t="shared" si="8"/>
        <v>2232</v>
      </c>
      <c r="AI29" s="2">
        <f t="shared" si="8"/>
        <v>2160</v>
      </c>
      <c r="AJ29" s="2">
        <f t="shared" si="8"/>
        <v>2232</v>
      </c>
      <c r="AK29" s="2">
        <f t="shared" si="8"/>
        <v>2232</v>
      </c>
      <c r="AL29" s="2">
        <f t="shared" si="8"/>
        <v>2160</v>
      </c>
      <c r="AM29" s="2">
        <f t="shared" si="8"/>
        <v>2232</v>
      </c>
      <c r="AN29" s="2">
        <f t="shared" si="8"/>
        <v>2160</v>
      </c>
      <c r="AO29" s="2">
        <f t="shared" si="8"/>
        <v>2232</v>
      </c>
      <c r="AP29" s="2">
        <f t="shared" si="8"/>
        <v>2232</v>
      </c>
      <c r="AQ29" s="2">
        <f t="shared" si="8"/>
        <v>2016</v>
      </c>
      <c r="AR29" s="2">
        <f t="shared" si="8"/>
        <v>2232</v>
      </c>
      <c r="AS29" s="2">
        <f t="shared" si="8"/>
        <v>2160</v>
      </c>
      <c r="AT29" s="2">
        <f t="shared" si="8"/>
        <v>2232</v>
      </c>
      <c r="AU29" s="2">
        <f t="shared" si="8"/>
        <v>2160</v>
      </c>
      <c r="AV29" s="2">
        <f t="shared" si="8"/>
        <v>2232</v>
      </c>
      <c r="AW29" s="2">
        <f t="shared" si="8"/>
        <v>2232</v>
      </c>
      <c r="AX29" s="2">
        <f t="shared" si="8"/>
        <v>2160</v>
      </c>
      <c r="AY29" s="2">
        <f t="shared" si="8"/>
        <v>2232</v>
      </c>
      <c r="AZ29" s="2">
        <f t="shared" si="8"/>
        <v>2160</v>
      </c>
      <c r="BA29" s="2">
        <f t="shared" si="8"/>
        <v>2232</v>
      </c>
      <c r="BB29" s="2">
        <f t="shared" si="8"/>
        <v>2232</v>
      </c>
      <c r="BC29" s="2">
        <f t="shared" si="8"/>
        <v>2016</v>
      </c>
      <c r="BD29" s="2">
        <f t="shared" si="8"/>
        <v>2232</v>
      </c>
      <c r="BE29" s="2">
        <f t="shared" si="8"/>
        <v>2160</v>
      </c>
      <c r="BF29" s="2">
        <f t="shared" si="8"/>
        <v>2232</v>
      </c>
      <c r="BG29" s="2">
        <f t="shared" si="8"/>
        <v>2160</v>
      </c>
      <c r="BH29" s="2">
        <f t="shared" si="8"/>
        <v>2232</v>
      </c>
      <c r="BI29" s="2">
        <f t="shared" si="8"/>
        <v>2232</v>
      </c>
      <c r="BJ29" s="2">
        <f t="shared" si="8"/>
        <v>2160</v>
      </c>
      <c r="BK29" s="2">
        <f t="shared" si="8"/>
        <v>2232</v>
      </c>
      <c r="BL29" s="2">
        <f t="shared" si="8"/>
        <v>2160</v>
      </c>
      <c r="BM29" s="2">
        <f t="shared" si="8"/>
        <v>2232</v>
      </c>
      <c r="BN29" s="2">
        <f t="shared" si="8"/>
        <v>2232</v>
      </c>
      <c r="BO29" s="2">
        <f t="shared" si="8"/>
        <v>2088</v>
      </c>
      <c r="BP29" s="2">
        <f t="shared" si="8"/>
        <v>2232</v>
      </c>
      <c r="BQ29" s="2">
        <f t="shared" si="8"/>
        <v>2160</v>
      </c>
      <c r="BR29" s="2">
        <f t="shared" ref="BR29:BY29" si="9" xml:space="preserve"> BR$26</f>
        <v>2232</v>
      </c>
      <c r="BS29" s="2">
        <f t="shared" si="9"/>
        <v>0</v>
      </c>
      <c r="BT29" s="2">
        <f t="shared" si="9"/>
        <v>0</v>
      </c>
      <c r="BU29" s="2">
        <f t="shared" si="9"/>
        <v>0</v>
      </c>
      <c r="BV29" s="2">
        <f t="shared" si="9"/>
        <v>0</v>
      </c>
      <c r="BW29" s="2">
        <f t="shared" si="9"/>
        <v>0</v>
      </c>
      <c r="BX29" s="2">
        <f t="shared" si="9"/>
        <v>0</v>
      </c>
      <c r="BY29" s="2">
        <f t="shared" si="9"/>
        <v>0</v>
      </c>
    </row>
    <row r="30" spans="1:81" x14ac:dyDescent="0.2">
      <c r="E30" s="2" t="s">
        <v>35</v>
      </c>
      <c r="G30" s="2" t="s">
        <v>36</v>
      </c>
      <c r="H30" s="2">
        <f xml:space="preserve"> SUM(J30:BY30)</f>
        <v>276242.4000000002</v>
      </c>
      <c r="J30" s="2">
        <f xml:space="preserve"> $F28 * J29</f>
        <v>0</v>
      </c>
      <c r="K30" s="2">
        <f t="shared" ref="K30:BV30" si="10" xml:space="preserve"> $F28 * K29</f>
        <v>4536</v>
      </c>
      <c r="L30" s="2">
        <f t="shared" si="10"/>
        <v>4687.2</v>
      </c>
      <c r="M30" s="2">
        <f t="shared" si="10"/>
        <v>4687.2</v>
      </c>
      <c r="N30" s="2">
        <f t="shared" si="10"/>
        <v>4536</v>
      </c>
      <c r="O30" s="2">
        <f t="shared" si="10"/>
        <v>4687.2</v>
      </c>
      <c r="P30" s="2">
        <f t="shared" si="10"/>
        <v>4536</v>
      </c>
      <c r="Q30" s="2">
        <f t="shared" si="10"/>
        <v>4687.2</v>
      </c>
      <c r="R30" s="2">
        <f t="shared" si="10"/>
        <v>4687.2</v>
      </c>
      <c r="S30" s="2">
        <f t="shared" si="10"/>
        <v>4384.8</v>
      </c>
      <c r="T30" s="2">
        <f t="shared" si="10"/>
        <v>4687.2</v>
      </c>
      <c r="U30" s="2">
        <f t="shared" si="10"/>
        <v>4536</v>
      </c>
      <c r="V30" s="2">
        <f t="shared" si="10"/>
        <v>4687.2</v>
      </c>
      <c r="W30" s="2">
        <f t="shared" si="10"/>
        <v>4536</v>
      </c>
      <c r="X30" s="2">
        <f t="shared" si="10"/>
        <v>4687.2</v>
      </c>
      <c r="Y30" s="2">
        <f t="shared" si="10"/>
        <v>4687.2</v>
      </c>
      <c r="Z30" s="2">
        <f t="shared" si="10"/>
        <v>4536</v>
      </c>
      <c r="AA30" s="2">
        <f t="shared" si="10"/>
        <v>4687.2</v>
      </c>
      <c r="AB30" s="2">
        <f t="shared" si="10"/>
        <v>4536</v>
      </c>
      <c r="AC30" s="2">
        <f t="shared" si="10"/>
        <v>4687.2</v>
      </c>
      <c r="AD30" s="2">
        <f t="shared" si="10"/>
        <v>4687.2</v>
      </c>
      <c r="AE30" s="2">
        <f t="shared" si="10"/>
        <v>4233.6000000000004</v>
      </c>
      <c r="AF30" s="2">
        <f t="shared" si="10"/>
        <v>4687.2</v>
      </c>
      <c r="AG30" s="2">
        <f t="shared" si="10"/>
        <v>4536</v>
      </c>
      <c r="AH30" s="2">
        <f t="shared" si="10"/>
        <v>4687.2</v>
      </c>
      <c r="AI30" s="2">
        <f t="shared" si="10"/>
        <v>4536</v>
      </c>
      <c r="AJ30" s="2">
        <f t="shared" si="10"/>
        <v>4687.2</v>
      </c>
      <c r="AK30" s="2">
        <f t="shared" si="10"/>
        <v>4687.2</v>
      </c>
      <c r="AL30" s="2">
        <f t="shared" si="10"/>
        <v>4536</v>
      </c>
      <c r="AM30" s="2">
        <f t="shared" si="10"/>
        <v>4687.2</v>
      </c>
      <c r="AN30" s="2">
        <f t="shared" si="10"/>
        <v>4536</v>
      </c>
      <c r="AO30" s="2">
        <f t="shared" si="10"/>
        <v>4687.2</v>
      </c>
      <c r="AP30" s="2">
        <f t="shared" si="10"/>
        <v>4687.2</v>
      </c>
      <c r="AQ30" s="2">
        <f t="shared" si="10"/>
        <v>4233.6000000000004</v>
      </c>
      <c r="AR30" s="2">
        <f t="shared" si="10"/>
        <v>4687.2</v>
      </c>
      <c r="AS30" s="2">
        <f t="shared" si="10"/>
        <v>4536</v>
      </c>
      <c r="AT30" s="2">
        <f t="shared" si="10"/>
        <v>4687.2</v>
      </c>
      <c r="AU30" s="2">
        <f t="shared" si="10"/>
        <v>4536</v>
      </c>
      <c r="AV30" s="2">
        <f t="shared" si="10"/>
        <v>4687.2</v>
      </c>
      <c r="AW30" s="2">
        <f t="shared" si="10"/>
        <v>4687.2</v>
      </c>
      <c r="AX30" s="2">
        <f t="shared" si="10"/>
        <v>4536</v>
      </c>
      <c r="AY30" s="2">
        <f t="shared" si="10"/>
        <v>4687.2</v>
      </c>
      <c r="AZ30" s="2">
        <f t="shared" si="10"/>
        <v>4536</v>
      </c>
      <c r="BA30" s="2">
        <f t="shared" si="10"/>
        <v>4687.2</v>
      </c>
      <c r="BB30" s="2">
        <f t="shared" si="10"/>
        <v>4687.2</v>
      </c>
      <c r="BC30" s="2">
        <f t="shared" si="10"/>
        <v>4233.6000000000004</v>
      </c>
      <c r="BD30" s="2">
        <f t="shared" si="10"/>
        <v>4687.2</v>
      </c>
      <c r="BE30" s="2">
        <f t="shared" si="10"/>
        <v>4536</v>
      </c>
      <c r="BF30" s="2">
        <f t="shared" si="10"/>
        <v>4687.2</v>
      </c>
      <c r="BG30" s="2">
        <f t="shared" si="10"/>
        <v>4536</v>
      </c>
      <c r="BH30" s="2">
        <f t="shared" si="10"/>
        <v>4687.2</v>
      </c>
      <c r="BI30" s="2">
        <f t="shared" si="10"/>
        <v>4687.2</v>
      </c>
      <c r="BJ30" s="2">
        <f t="shared" si="10"/>
        <v>4536</v>
      </c>
      <c r="BK30" s="2">
        <f t="shared" si="10"/>
        <v>4687.2</v>
      </c>
      <c r="BL30" s="2">
        <f t="shared" si="10"/>
        <v>4536</v>
      </c>
      <c r="BM30" s="2">
        <f t="shared" si="10"/>
        <v>4687.2</v>
      </c>
      <c r="BN30" s="2">
        <f t="shared" si="10"/>
        <v>4687.2</v>
      </c>
      <c r="BO30" s="2">
        <f t="shared" si="10"/>
        <v>4384.8</v>
      </c>
      <c r="BP30" s="2">
        <f t="shared" si="10"/>
        <v>4687.2</v>
      </c>
      <c r="BQ30" s="2">
        <f t="shared" si="10"/>
        <v>4536</v>
      </c>
      <c r="BR30" s="2">
        <f t="shared" si="10"/>
        <v>4687.2</v>
      </c>
      <c r="BS30" s="2">
        <f t="shared" si="10"/>
        <v>0</v>
      </c>
      <c r="BT30" s="2">
        <f t="shared" si="10"/>
        <v>0</v>
      </c>
      <c r="BU30" s="2">
        <f t="shared" si="10"/>
        <v>0</v>
      </c>
      <c r="BV30" s="2">
        <f t="shared" si="10"/>
        <v>0</v>
      </c>
      <c r="BW30" s="2">
        <f xml:space="preserve"> $F28 * BW29</f>
        <v>0</v>
      </c>
      <c r="BX30" s="2">
        <f xml:space="preserve"> $F28 * BX29</f>
        <v>0</v>
      </c>
      <c r="BY30" s="2">
        <f xml:space="preserve"> $F28 * BY29</f>
        <v>0</v>
      </c>
    </row>
    <row r="32" spans="1:81" x14ac:dyDescent="0.2">
      <c r="E32" s="49" t="s">
        <v>37</v>
      </c>
      <c r="G32" s="2" t="s">
        <v>87</v>
      </c>
      <c r="J32" s="48">
        <v>25</v>
      </c>
      <c r="K32" s="48">
        <v>25</v>
      </c>
      <c r="L32" s="48">
        <v>25</v>
      </c>
      <c r="M32" s="48">
        <v>25</v>
      </c>
      <c r="N32" s="48">
        <v>25</v>
      </c>
      <c r="O32" s="48">
        <v>25</v>
      </c>
      <c r="P32" s="48">
        <v>25</v>
      </c>
      <c r="Q32" s="48">
        <v>25</v>
      </c>
      <c r="R32" s="48">
        <v>45</v>
      </c>
      <c r="S32" s="48">
        <v>35</v>
      </c>
      <c r="T32" s="48">
        <v>25</v>
      </c>
      <c r="U32" s="48">
        <v>25</v>
      </c>
      <c r="V32" s="48">
        <v>25</v>
      </c>
      <c r="W32" s="48">
        <v>25</v>
      </c>
      <c r="X32" s="48">
        <v>25</v>
      </c>
      <c r="Y32" s="48">
        <v>25</v>
      </c>
      <c r="Z32" s="48">
        <v>25</v>
      </c>
      <c r="AA32" s="48">
        <v>25</v>
      </c>
      <c r="AB32" s="48">
        <v>25</v>
      </c>
      <c r="AC32" s="48">
        <v>25</v>
      </c>
      <c r="AD32" s="48">
        <v>45</v>
      </c>
      <c r="AE32" s="48">
        <v>35</v>
      </c>
      <c r="AF32" s="48">
        <v>25</v>
      </c>
      <c r="AG32" s="48">
        <v>25</v>
      </c>
      <c r="AH32" s="48">
        <v>25</v>
      </c>
      <c r="AI32" s="48">
        <v>25</v>
      </c>
      <c r="AJ32" s="48">
        <v>25</v>
      </c>
      <c r="AK32" s="48">
        <v>25</v>
      </c>
      <c r="AL32" s="48">
        <v>25</v>
      </c>
      <c r="AM32" s="48">
        <v>25</v>
      </c>
      <c r="AN32" s="48">
        <v>25</v>
      </c>
      <c r="AO32" s="48">
        <v>25</v>
      </c>
      <c r="AP32" s="48">
        <v>45</v>
      </c>
      <c r="AQ32" s="48">
        <v>35</v>
      </c>
      <c r="AR32" s="48">
        <v>25</v>
      </c>
      <c r="AS32" s="48">
        <v>25</v>
      </c>
      <c r="AT32" s="48">
        <v>25</v>
      </c>
      <c r="AU32" s="48">
        <v>25</v>
      </c>
      <c r="AV32" s="48">
        <v>25</v>
      </c>
      <c r="AW32" s="48">
        <v>25</v>
      </c>
      <c r="AX32" s="48">
        <v>25</v>
      </c>
      <c r="AY32" s="48">
        <v>25</v>
      </c>
      <c r="AZ32" s="48">
        <v>25</v>
      </c>
      <c r="BA32" s="48">
        <v>25</v>
      </c>
      <c r="BB32" s="48">
        <v>45</v>
      </c>
      <c r="BC32" s="48">
        <v>35</v>
      </c>
      <c r="BD32" s="48">
        <v>25</v>
      </c>
      <c r="BE32" s="48">
        <v>25</v>
      </c>
      <c r="BF32" s="48">
        <v>25</v>
      </c>
      <c r="BG32" s="48">
        <v>25</v>
      </c>
      <c r="BH32" s="48">
        <v>25</v>
      </c>
      <c r="BI32" s="48">
        <v>25</v>
      </c>
      <c r="BJ32" s="48">
        <v>25</v>
      </c>
      <c r="BK32" s="48">
        <v>25</v>
      </c>
      <c r="BL32" s="48">
        <v>25</v>
      </c>
      <c r="BM32" s="48">
        <v>25</v>
      </c>
      <c r="BN32" s="48">
        <v>45</v>
      </c>
      <c r="BO32" s="48">
        <v>35</v>
      </c>
      <c r="BP32" s="48">
        <v>25</v>
      </c>
      <c r="BQ32" s="48">
        <v>25</v>
      </c>
      <c r="BR32" s="48">
        <v>25</v>
      </c>
      <c r="BS32" s="48">
        <v>25</v>
      </c>
      <c r="BT32" s="48">
        <v>25</v>
      </c>
      <c r="BU32" s="48">
        <v>25</v>
      </c>
      <c r="BV32" s="48">
        <v>25</v>
      </c>
      <c r="BW32" s="48">
        <v>25</v>
      </c>
      <c r="BX32" s="48">
        <v>25</v>
      </c>
      <c r="BY32" s="48">
        <v>25</v>
      </c>
      <c r="BZ32" s="2">
        <v>45</v>
      </c>
      <c r="CA32" s="2">
        <v>35</v>
      </c>
      <c r="CB32" s="2">
        <v>25</v>
      </c>
      <c r="CC32" s="2">
        <v>25</v>
      </c>
    </row>
    <row r="33" spans="1:77" x14ac:dyDescent="0.2">
      <c r="E33" s="2" t="str">
        <f xml:space="preserve"> E$30</f>
        <v>Electricity produced from waste</v>
      </c>
      <c r="F33" s="2">
        <f t="shared" ref="F33:BQ33" si="11" xml:space="preserve"> F$30</f>
        <v>0</v>
      </c>
      <c r="G33" s="2" t="str">
        <f t="shared" si="11"/>
        <v>MWh</v>
      </c>
      <c r="H33" s="2">
        <f t="shared" si="11"/>
        <v>276242.4000000002</v>
      </c>
      <c r="I33" s="2">
        <f t="shared" si="11"/>
        <v>0</v>
      </c>
      <c r="J33" s="2">
        <f t="shared" si="11"/>
        <v>0</v>
      </c>
      <c r="K33" s="2">
        <f t="shared" si="11"/>
        <v>4536</v>
      </c>
      <c r="L33" s="2">
        <f t="shared" si="11"/>
        <v>4687.2</v>
      </c>
      <c r="M33" s="2">
        <f t="shared" si="11"/>
        <v>4687.2</v>
      </c>
      <c r="N33" s="2">
        <f t="shared" si="11"/>
        <v>4536</v>
      </c>
      <c r="O33" s="2">
        <f t="shared" si="11"/>
        <v>4687.2</v>
      </c>
      <c r="P33" s="2">
        <f t="shared" si="11"/>
        <v>4536</v>
      </c>
      <c r="Q33" s="2">
        <f t="shared" si="11"/>
        <v>4687.2</v>
      </c>
      <c r="R33" s="2">
        <f t="shared" si="11"/>
        <v>4687.2</v>
      </c>
      <c r="S33" s="2">
        <f t="shared" si="11"/>
        <v>4384.8</v>
      </c>
      <c r="T33" s="2">
        <f t="shared" si="11"/>
        <v>4687.2</v>
      </c>
      <c r="U33" s="2">
        <f t="shared" si="11"/>
        <v>4536</v>
      </c>
      <c r="V33" s="2">
        <f t="shared" si="11"/>
        <v>4687.2</v>
      </c>
      <c r="W33" s="2">
        <f t="shared" si="11"/>
        <v>4536</v>
      </c>
      <c r="X33" s="2">
        <f t="shared" si="11"/>
        <v>4687.2</v>
      </c>
      <c r="Y33" s="2">
        <f t="shared" si="11"/>
        <v>4687.2</v>
      </c>
      <c r="Z33" s="2">
        <f t="shared" si="11"/>
        <v>4536</v>
      </c>
      <c r="AA33" s="2">
        <f t="shared" si="11"/>
        <v>4687.2</v>
      </c>
      <c r="AB33" s="2">
        <f t="shared" si="11"/>
        <v>4536</v>
      </c>
      <c r="AC33" s="2">
        <f t="shared" si="11"/>
        <v>4687.2</v>
      </c>
      <c r="AD33" s="2">
        <f t="shared" si="11"/>
        <v>4687.2</v>
      </c>
      <c r="AE33" s="2">
        <f t="shared" si="11"/>
        <v>4233.6000000000004</v>
      </c>
      <c r="AF33" s="2">
        <f t="shared" si="11"/>
        <v>4687.2</v>
      </c>
      <c r="AG33" s="2">
        <f t="shared" si="11"/>
        <v>4536</v>
      </c>
      <c r="AH33" s="2">
        <f t="shared" si="11"/>
        <v>4687.2</v>
      </c>
      <c r="AI33" s="2">
        <f t="shared" si="11"/>
        <v>4536</v>
      </c>
      <c r="AJ33" s="2">
        <f t="shared" si="11"/>
        <v>4687.2</v>
      </c>
      <c r="AK33" s="2">
        <f t="shared" si="11"/>
        <v>4687.2</v>
      </c>
      <c r="AL33" s="2">
        <f t="shared" si="11"/>
        <v>4536</v>
      </c>
      <c r="AM33" s="2">
        <f t="shared" si="11"/>
        <v>4687.2</v>
      </c>
      <c r="AN33" s="2">
        <f t="shared" si="11"/>
        <v>4536</v>
      </c>
      <c r="AO33" s="2">
        <f t="shared" si="11"/>
        <v>4687.2</v>
      </c>
      <c r="AP33" s="2">
        <f t="shared" si="11"/>
        <v>4687.2</v>
      </c>
      <c r="AQ33" s="2">
        <f t="shared" si="11"/>
        <v>4233.6000000000004</v>
      </c>
      <c r="AR33" s="2">
        <f t="shared" si="11"/>
        <v>4687.2</v>
      </c>
      <c r="AS33" s="2">
        <f t="shared" si="11"/>
        <v>4536</v>
      </c>
      <c r="AT33" s="2">
        <f t="shared" si="11"/>
        <v>4687.2</v>
      </c>
      <c r="AU33" s="2">
        <f t="shared" si="11"/>
        <v>4536</v>
      </c>
      <c r="AV33" s="2">
        <f t="shared" si="11"/>
        <v>4687.2</v>
      </c>
      <c r="AW33" s="2">
        <f t="shared" si="11"/>
        <v>4687.2</v>
      </c>
      <c r="AX33" s="2">
        <f t="shared" si="11"/>
        <v>4536</v>
      </c>
      <c r="AY33" s="2">
        <f t="shared" si="11"/>
        <v>4687.2</v>
      </c>
      <c r="AZ33" s="2">
        <f t="shared" si="11"/>
        <v>4536</v>
      </c>
      <c r="BA33" s="2">
        <f t="shared" si="11"/>
        <v>4687.2</v>
      </c>
      <c r="BB33" s="2">
        <f t="shared" si="11"/>
        <v>4687.2</v>
      </c>
      <c r="BC33" s="2">
        <f t="shared" si="11"/>
        <v>4233.6000000000004</v>
      </c>
      <c r="BD33" s="2">
        <f t="shared" si="11"/>
        <v>4687.2</v>
      </c>
      <c r="BE33" s="2">
        <f t="shared" si="11"/>
        <v>4536</v>
      </c>
      <c r="BF33" s="2">
        <f t="shared" si="11"/>
        <v>4687.2</v>
      </c>
      <c r="BG33" s="2">
        <f t="shared" si="11"/>
        <v>4536</v>
      </c>
      <c r="BH33" s="2">
        <f t="shared" si="11"/>
        <v>4687.2</v>
      </c>
      <c r="BI33" s="2">
        <f t="shared" si="11"/>
        <v>4687.2</v>
      </c>
      <c r="BJ33" s="2">
        <f t="shared" si="11"/>
        <v>4536</v>
      </c>
      <c r="BK33" s="2">
        <f t="shared" si="11"/>
        <v>4687.2</v>
      </c>
      <c r="BL33" s="2">
        <f t="shared" si="11"/>
        <v>4536</v>
      </c>
      <c r="BM33" s="2">
        <f t="shared" si="11"/>
        <v>4687.2</v>
      </c>
      <c r="BN33" s="2">
        <f t="shared" si="11"/>
        <v>4687.2</v>
      </c>
      <c r="BO33" s="2">
        <f t="shared" si="11"/>
        <v>4384.8</v>
      </c>
      <c r="BP33" s="2">
        <f t="shared" si="11"/>
        <v>4687.2</v>
      </c>
      <c r="BQ33" s="2">
        <f t="shared" si="11"/>
        <v>4536</v>
      </c>
      <c r="BR33" s="2">
        <f t="shared" ref="BR33:BY33" si="12" xml:space="preserve"> BR$30</f>
        <v>4687.2</v>
      </c>
      <c r="BS33" s="2">
        <f t="shared" si="12"/>
        <v>0</v>
      </c>
      <c r="BT33" s="2">
        <f t="shared" si="12"/>
        <v>0</v>
      </c>
      <c r="BU33" s="2">
        <f t="shared" si="12"/>
        <v>0</v>
      </c>
      <c r="BV33" s="2">
        <f t="shared" si="12"/>
        <v>0</v>
      </c>
      <c r="BW33" s="2">
        <f t="shared" si="12"/>
        <v>0</v>
      </c>
      <c r="BX33" s="2">
        <f t="shared" si="12"/>
        <v>0</v>
      </c>
      <c r="BY33" s="2">
        <f t="shared" si="12"/>
        <v>0</v>
      </c>
    </row>
    <row r="34" spans="1:77" s="138" customFormat="1" x14ac:dyDescent="0.2">
      <c r="A34" s="135"/>
      <c r="B34" s="120"/>
      <c r="C34" s="136"/>
      <c r="D34" s="137"/>
      <c r="E34" s="138" t="str">
        <f xml:space="preserve"> Time!E$43</f>
        <v>Forecast period flag</v>
      </c>
      <c r="F34" s="138">
        <f xml:space="preserve"> Time!F$43</f>
        <v>0</v>
      </c>
      <c r="G34" s="138" t="str">
        <f xml:space="preserve"> Time!G$43</f>
        <v>flag</v>
      </c>
      <c r="H34" s="138">
        <f xml:space="preserve"> Time!H$43</f>
        <v>60</v>
      </c>
      <c r="I34" s="138">
        <f xml:space="preserve"> Time!I$43</f>
        <v>0</v>
      </c>
      <c r="J34" s="138">
        <f xml:space="preserve"> Time!J$43</f>
        <v>0</v>
      </c>
      <c r="K34" s="138">
        <f xml:space="preserve"> Time!K$43</f>
        <v>1</v>
      </c>
      <c r="L34" s="138">
        <f xml:space="preserve"> Time!L$43</f>
        <v>1</v>
      </c>
      <c r="M34" s="138">
        <f xml:space="preserve"> Time!M$43</f>
        <v>1</v>
      </c>
      <c r="N34" s="138">
        <f xml:space="preserve"> Time!N$43</f>
        <v>1</v>
      </c>
      <c r="O34" s="138">
        <f xml:space="preserve"> Time!O$43</f>
        <v>1</v>
      </c>
      <c r="P34" s="138">
        <f xml:space="preserve"> Time!P$43</f>
        <v>1</v>
      </c>
      <c r="Q34" s="138">
        <f xml:space="preserve"> Time!Q$43</f>
        <v>1</v>
      </c>
      <c r="R34" s="138">
        <f xml:space="preserve"> Time!R$43</f>
        <v>1</v>
      </c>
      <c r="S34" s="138">
        <f xml:space="preserve"> Time!S$43</f>
        <v>1</v>
      </c>
      <c r="T34" s="138">
        <f xml:space="preserve"> Time!T$43</f>
        <v>1</v>
      </c>
      <c r="U34" s="138">
        <f xml:space="preserve"> Time!U$43</f>
        <v>1</v>
      </c>
      <c r="V34" s="138">
        <f xml:space="preserve"> Time!V$43</f>
        <v>1</v>
      </c>
      <c r="W34" s="138">
        <f xml:space="preserve"> Time!W$43</f>
        <v>1</v>
      </c>
      <c r="X34" s="138">
        <f xml:space="preserve"> Time!X$43</f>
        <v>1</v>
      </c>
      <c r="Y34" s="138">
        <f xml:space="preserve"> Time!Y$43</f>
        <v>1</v>
      </c>
      <c r="Z34" s="138">
        <f xml:space="preserve"> Time!Z$43</f>
        <v>1</v>
      </c>
      <c r="AA34" s="138">
        <f xml:space="preserve"> Time!AA$43</f>
        <v>1</v>
      </c>
      <c r="AB34" s="138">
        <f xml:space="preserve"> Time!AB$43</f>
        <v>1</v>
      </c>
      <c r="AC34" s="138">
        <f xml:space="preserve"> Time!AC$43</f>
        <v>1</v>
      </c>
      <c r="AD34" s="138">
        <f xml:space="preserve"> Time!AD$43</f>
        <v>1</v>
      </c>
      <c r="AE34" s="138">
        <f xml:space="preserve"> Time!AE$43</f>
        <v>1</v>
      </c>
      <c r="AF34" s="138">
        <f xml:space="preserve"> Time!AF$43</f>
        <v>1</v>
      </c>
      <c r="AG34" s="138">
        <f xml:space="preserve"> Time!AG$43</f>
        <v>1</v>
      </c>
      <c r="AH34" s="138">
        <f xml:space="preserve"> Time!AH$43</f>
        <v>1</v>
      </c>
      <c r="AI34" s="138">
        <f xml:space="preserve"> Time!AI$43</f>
        <v>1</v>
      </c>
      <c r="AJ34" s="138">
        <f xml:space="preserve"> Time!AJ$43</f>
        <v>1</v>
      </c>
      <c r="AK34" s="138">
        <f xml:space="preserve"> Time!AK$43</f>
        <v>1</v>
      </c>
      <c r="AL34" s="138">
        <f xml:space="preserve"> Time!AL$43</f>
        <v>1</v>
      </c>
      <c r="AM34" s="138">
        <f xml:space="preserve"> Time!AM$43</f>
        <v>1</v>
      </c>
      <c r="AN34" s="138">
        <f xml:space="preserve"> Time!AN$43</f>
        <v>1</v>
      </c>
      <c r="AO34" s="138">
        <f xml:space="preserve"> Time!AO$43</f>
        <v>1</v>
      </c>
      <c r="AP34" s="138">
        <f xml:space="preserve"> Time!AP$43</f>
        <v>1</v>
      </c>
      <c r="AQ34" s="138">
        <f xml:space="preserve"> Time!AQ$43</f>
        <v>1</v>
      </c>
      <c r="AR34" s="138">
        <f xml:space="preserve"> Time!AR$43</f>
        <v>1</v>
      </c>
      <c r="AS34" s="138">
        <f xml:space="preserve"> Time!AS$43</f>
        <v>1</v>
      </c>
      <c r="AT34" s="138">
        <f xml:space="preserve"> Time!AT$43</f>
        <v>1</v>
      </c>
      <c r="AU34" s="138">
        <f xml:space="preserve"> Time!AU$43</f>
        <v>1</v>
      </c>
      <c r="AV34" s="138">
        <f xml:space="preserve"> Time!AV$43</f>
        <v>1</v>
      </c>
      <c r="AW34" s="138">
        <f xml:space="preserve"> Time!AW$43</f>
        <v>1</v>
      </c>
      <c r="AX34" s="138">
        <f xml:space="preserve"> Time!AX$43</f>
        <v>1</v>
      </c>
      <c r="AY34" s="138">
        <f xml:space="preserve"> Time!AY$43</f>
        <v>1</v>
      </c>
      <c r="AZ34" s="138">
        <f xml:space="preserve"> Time!AZ$43</f>
        <v>1</v>
      </c>
      <c r="BA34" s="138">
        <f xml:space="preserve"> Time!BA$43</f>
        <v>1</v>
      </c>
      <c r="BB34" s="138">
        <f xml:space="preserve"> Time!BB$43</f>
        <v>1</v>
      </c>
      <c r="BC34" s="138">
        <f xml:space="preserve"> Time!BC$43</f>
        <v>1</v>
      </c>
      <c r="BD34" s="138">
        <f xml:space="preserve"> Time!BD$43</f>
        <v>1</v>
      </c>
      <c r="BE34" s="138">
        <f xml:space="preserve"> Time!BE$43</f>
        <v>1</v>
      </c>
      <c r="BF34" s="138">
        <f xml:space="preserve"> Time!BF$43</f>
        <v>1</v>
      </c>
      <c r="BG34" s="138">
        <f xml:space="preserve"> Time!BG$43</f>
        <v>1</v>
      </c>
      <c r="BH34" s="138">
        <f xml:space="preserve"> Time!BH$43</f>
        <v>1</v>
      </c>
      <c r="BI34" s="138">
        <f xml:space="preserve"> Time!BI$43</f>
        <v>1</v>
      </c>
      <c r="BJ34" s="138">
        <f xml:space="preserve"> Time!BJ$43</f>
        <v>1</v>
      </c>
      <c r="BK34" s="138">
        <f xml:space="preserve"> Time!BK$43</f>
        <v>1</v>
      </c>
      <c r="BL34" s="138">
        <f xml:space="preserve"> Time!BL$43</f>
        <v>1</v>
      </c>
      <c r="BM34" s="138">
        <f xml:space="preserve"> Time!BM$43</f>
        <v>1</v>
      </c>
      <c r="BN34" s="138">
        <f xml:space="preserve"> Time!BN$43</f>
        <v>1</v>
      </c>
      <c r="BO34" s="138">
        <f xml:space="preserve"> Time!BO$43</f>
        <v>1</v>
      </c>
      <c r="BP34" s="138">
        <f xml:space="preserve"> Time!BP$43</f>
        <v>1</v>
      </c>
      <c r="BQ34" s="138">
        <f xml:space="preserve"> Time!BQ$43</f>
        <v>1</v>
      </c>
      <c r="BR34" s="138">
        <f xml:space="preserve"> Time!BR$43</f>
        <v>1</v>
      </c>
      <c r="BS34" s="138">
        <f xml:space="preserve"> Time!BS$43</f>
        <v>0</v>
      </c>
      <c r="BT34" s="138">
        <f xml:space="preserve"> Time!BT$43</f>
        <v>0</v>
      </c>
      <c r="BU34" s="138">
        <f xml:space="preserve"> Time!BU$43</f>
        <v>0</v>
      </c>
      <c r="BV34" s="138">
        <f xml:space="preserve"> Time!BV$43</f>
        <v>0</v>
      </c>
      <c r="BW34" s="138">
        <f xml:space="preserve"> Time!BW$43</f>
        <v>0</v>
      </c>
      <c r="BX34" s="138">
        <f xml:space="preserve"> Time!BX$43</f>
        <v>0</v>
      </c>
      <c r="BY34" s="138">
        <f xml:space="preserve"> Time!BY$43</f>
        <v>0</v>
      </c>
    </row>
    <row r="35" spans="1:77" x14ac:dyDescent="0.2">
      <c r="E35" s="2" t="s">
        <v>38</v>
      </c>
      <c r="G35" s="2" t="s">
        <v>26</v>
      </c>
      <c r="H35" s="2">
        <f xml:space="preserve"> SUM(J35:BY35)</f>
        <v>7589484</v>
      </c>
      <c r="J35" s="2">
        <f xml:space="preserve"> J32 * J33 * J34</f>
        <v>0</v>
      </c>
      <c r="K35" s="2">
        <f t="shared" ref="K35:BV35" si="13" xml:space="preserve"> K32 * K33 * K34</f>
        <v>113400</v>
      </c>
      <c r="L35" s="2">
        <f t="shared" si="13"/>
        <v>117180</v>
      </c>
      <c r="M35" s="2">
        <f t="shared" si="13"/>
        <v>117180</v>
      </c>
      <c r="N35" s="2">
        <f t="shared" si="13"/>
        <v>113400</v>
      </c>
      <c r="O35" s="2">
        <f t="shared" si="13"/>
        <v>117180</v>
      </c>
      <c r="P35" s="2">
        <f t="shared" si="13"/>
        <v>113400</v>
      </c>
      <c r="Q35" s="2">
        <f t="shared" si="13"/>
        <v>117180</v>
      </c>
      <c r="R35" s="2">
        <f t="shared" si="13"/>
        <v>210924</v>
      </c>
      <c r="S35" s="2">
        <f t="shared" si="13"/>
        <v>153468</v>
      </c>
      <c r="T35" s="2">
        <f t="shared" si="13"/>
        <v>117180</v>
      </c>
      <c r="U35" s="2">
        <f t="shared" si="13"/>
        <v>113400</v>
      </c>
      <c r="V35" s="2">
        <f t="shared" si="13"/>
        <v>117180</v>
      </c>
      <c r="W35" s="2">
        <f t="shared" si="13"/>
        <v>113400</v>
      </c>
      <c r="X35" s="2">
        <f t="shared" si="13"/>
        <v>117180</v>
      </c>
      <c r="Y35" s="2">
        <f t="shared" si="13"/>
        <v>117180</v>
      </c>
      <c r="Z35" s="2">
        <f t="shared" si="13"/>
        <v>113400</v>
      </c>
      <c r="AA35" s="2">
        <f t="shared" si="13"/>
        <v>117180</v>
      </c>
      <c r="AB35" s="2">
        <f t="shared" si="13"/>
        <v>113400</v>
      </c>
      <c r="AC35" s="2">
        <f t="shared" si="13"/>
        <v>117180</v>
      </c>
      <c r="AD35" s="2">
        <f t="shared" si="13"/>
        <v>210924</v>
      </c>
      <c r="AE35" s="2">
        <f t="shared" si="13"/>
        <v>148176</v>
      </c>
      <c r="AF35" s="2">
        <f t="shared" si="13"/>
        <v>117180</v>
      </c>
      <c r="AG35" s="2">
        <f t="shared" si="13"/>
        <v>113400</v>
      </c>
      <c r="AH35" s="2">
        <f t="shared" si="13"/>
        <v>117180</v>
      </c>
      <c r="AI35" s="2">
        <f t="shared" si="13"/>
        <v>113400</v>
      </c>
      <c r="AJ35" s="2">
        <f t="shared" si="13"/>
        <v>117180</v>
      </c>
      <c r="AK35" s="2">
        <f t="shared" si="13"/>
        <v>117180</v>
      </c>
      <c r="AL35" s="2">
        <f t="shared" si="13"/>
        <v>113400</v>
      </c>
      <c r="AM35" s="2">
        <f t="shared" si="13"/>
        <v>117180</v>
      </c>
      <c r="AN35" s="2">
        <f t="shared" si="13"/>
        <v>113400</v>
      </c>
      <c r="AO35" s="2">
        <f t="shared" si="13"/>
        <v>117180</v>
      </c>
      <c r="AP35" s="2">
        <f t="shared" si="13"/>
        <v>210924</v>
      </c>
      <c r="AQ35" s="2">
        <f t="shared" si="13"/>
        <v>148176</v>
      </c>
      <c r="AR35" s="2">
        <f t="shared" si="13"/>
        <v>117180</v>
      </c>
      <c r="AS35" s="2">
        <f t="shared" si="13"/>
        <v>113400</v>
      </c>
      <c r="AT35" s="2">
        <f t="shared" si="13"/>
        <v>117180</v>
      </c>
      <c r="AU35" s="2">
        <f t="shared" si="13"/>
        <v>113400</v>
      </c>
      <c r="AV35" s="2">
        <f t="shared" si="13"/>
        <v>117180</v>
      </c>
      <c r="AW35" s="2">
        <f t="shared" si="13"/>
        <v>117180</v>
      </c>
      <c r="AX35" s="2">
        <f t="shared" si="13"/>
        <v>113400</v>
      </c>
      <c r="AY35" s="2">
        <f t="shared" si="13"/>
        <v>117180</v>
      </c>
      <c r="AZ35" s="2">
        <f t="shared" si="13"/>
        <v>113400</v>
      </c>
      <c r="BA35" s="2">
        <f t="shared" si="13"/>
        <v>117180</v>
      </c>
      <c r="BB35" s="2">
        <f t="shared" si="13"/>
        <v>210924</v>
      </c>
      <c r="BC35" s="2">
        <f t="shared" si="13"/>
        <v>148176</v>
      </c>
      <c r="BD35" s="2">
        <f t="shared" si="13"/>
        <v>117180</v>
      </c>
      <c r="BE35" s="2">
        <f t="shared" si="13"/>
        <v>113400</v>
      </c>
      <c r="BF35" s="2">
        <f t="shared" si="13"/>
        <v>117180</v>
      </c>
      <c r="BG35" s="2">
        <f t="shared" si="13"/>
        <v>113400</v>
      </c>
      <c r="BH35" s="2">
        <f t="shared" si="13"/>
        <v>117180</v>
      </c>
      <c r="BI35" s="2">
        <f t="shared" si="13"/>
        <v>117180</v>
      </c>
      <c r="BJ35" s="2">
        <f t="shared" si="13"/>
        <v>113400</v>
      </c>
      <c r="BK35" s="2">
        <f t="shared" si="13"/>
        <v>117180</v>
      </c>
      <c r="BL35" s="2">
        <f t="shared" si="13"/>
        <v>113400</v>
      </c>
      <c r="BM35" s="2">
        <f t="shared" si="13"/>
        <v>117180</v>
      </c>
      <c r="BN35" s="2">
        <f t="shared" si="13"/>
        <v>210924</v>
      </c>
      <c r="BO35" s="2">
        <f t="shared" si="13"/>
        <v>153468</v>
      </c>
      <c r="BP35" s="2">
        <f t="shared" si="13"/>
        <v>117180</v>
      </c>
      <c r="BQ35" s="2">
        <f t="shared" si="13"/>
        <v>113400</v>
      </c>
      <c r="BR35" s="2">
        <f t="shared" si="13"/>
        <v>117180</v>
      </c>
      <c r="BS35" s="2">
        <f t="shared" si="13"/>
        <v>0</v>
      </c>
      <c r="BT35" s="2">
        <f t="shared" si="13"/>
        <v>0</v>
      </c>
      <c r="BU35" s="2">
        <f t="shared" si="13"/>
        <v>0</v>
      </c>
      <c r="BV35" s="2">
        <f t="shared" si="13"/>
        <v>0</v>
      </c>
      <c r="BW35" s="2">
        <f xml:space="preserve"> BW32 * BW33 * BW34</f>
        <v>0</v>
      </c>
      <c r="BX35" s="2">
        <f xml:space="preserve"> BX32 * BX33 * BX34</f>
        <v>0</v>
      </c>
      <c r="BY35" s="2">
        <f xml:space="preserve"> BY32 * BY33 * BY34</f>
        <v>0</v>
      </c>
    </row>
    <row r="37" spans="1:77" x14ac:dyDescent="0.2">
      <c r="B37" s="5" t="s">
        <v>39</v>
      </c>
      <c r="K37" s="35"/>
    </row>
    <row r="38" spans="1:77" x14ac:dyDescent="0.2">
      <c r="C38" s="72" t="s">
        <v>42</v>
      </c>
      <c r="K38" s="35"/>
    </row>
    <row r="39" spans="1:77" s="44" customFormat="1" x14ac:dyDescent="0.2">
      <c r="A39" s="33"/>
      <c r="B39" s="33"/>
      <c r="C39" s="34"/>
      <c r="D39" s="41"/>
      <c r="E39" s="43" t="s">
        <v>40</v>
      </c>
      <c r="F39" s="52">
        <v>1500</v>
      </c>
      <c r="G39" s="43" t="s">
        <v>22</v>
      </c>
    </row>
    <row r="40" spans="1:77" s="142" customFormat="1" x14ac:dyDescent="0.2">
      <c r="A40" s="139"/>
      <c r="B40" s="139"/>
      <c r="C40" s="140"/>
      <c r="D40" s="141"/>
      <c r="E40" s="142" t="str">
        <f>Time!E$33</f>
        <v>Acquisition / initial balance date flag</v>
      </c>
      <c r="F40" s="142">
        <f>Time!F$33</f>
        <v>0</v>
      </c>
      <c r="G40" s="142" t="str">
        <f>Time!G$33</f>
        <v>flag</v>
      </c>
      <c r="H40" s="142">
        <f>Time!H$33</f>
        <v>1</v>
      </c>
      <c r="I40" s="142">
        <f>Time!I$33</f>
        <v>0</v>
      </c>
      <c r="J40" s="142">
        <f>Time!J$33</f>
        <v>1</v>
      </c>
      <c r="K40" s="142">
        <f>Time!K$33</f>
        <v>0</v>
      </c>
      <c r="L40" s="142">
        <f>Time!L$33</f>
        <v>0</v>
      </c>
      <c r="M40" s="142">
        <f>Time!M$33</f>
        <v>0</v>
      </c>
      <c r="N40" s="142">
        <f>Time!N$33</f>
        <v>0</v>
      </c>
      <c r="O40" s="142">
        <f>Time!O$33</f>
        <v>0</v>
      </c>
      <c r="P40" s="142">
        <f>Time!P$33</f>
        <v>0</v>
      </c>
      <c r="Q40" s="142">
        <f>Time!Q$33</f>
        <v>0</v>
      </c>
      <c r="R40" s="142">
        <f>Time!R$33</f>
        <v>0</v>
      </c>
      <c r="S40" s="142">
        <f>Time!S$33</f>
        <v>0</v>
      </c>
      <c r="T40" s="142">
        <f>Time!T$33</f>
        <v>0</v>
      </c>
      <c r="U40" s="142">
        <f>Time!U$33</f>
        <v>0</v>
      </c>
      <c r="V40" s="142">
        <f>Time!V$33</f>
        <v>0</v>
      </c>
      <c r="W40" s="142">
        <f>Time!W$33</f>
        <v>0</v>
      </c>
      <c r="X40" s="142">
        <f>Time!X$33</f>
        <v>0</v>
      </c>
      <c r="Y40" s="142">
        <f>Time!Y$33</f>
        <v>0</v>
      </c>
      <c r="Z40" s="142">
        <f>Time!Z$33</f>
        <v>0</v>
      </c>
      <c r="AA40" s="142">
        <f>Time!AA$33</f>
        <v>0</v>
      </c>
      <c r="AB40" s="142">
        <f>Time!AB$33</f>
        <v>0</v>
      </c>
      <c r="AC40" s="142">
        <f>Time!AC$33</f>
        <v>0</v>
      </c>
      <c r="AD40" s="142">
        <f>Time!AD$33</f>
        <v>0</v>
      </c>
      <c r="AE40" s="142">
        <f>Time!AE$33</f>
        <v>0</v>
      </c>
      <c r="AF40" s="142">
        <f>Time!AF$33</f>
        <v>0</v>
      </c>
      <c r="AG40" s="142">
        <f>Time!AG$33</f>
        <v>0</v>
      </c>
      <c r="AH40" s="142">
        <f>Time!AH$33</f>
        <v>0</v>
      </c>
      <c r="AI40" s="142">
        <f>Time!AI$33</f>
        <v>0</v>
      </c>
      <c r="AJ40" s="142">
        <f>Time!AJ$33</f>
        <v>0</v>
      </c>
      <c r="AK40" s="142">
        <f>Time!AK$33</f>
        <v>0</v>
      </c>
      <c r="AL40" s="142">
        <f>Time!AL$33</f>
        <v>0</v>
      </c>
      <c r="AM40" s="142">
        <f>Time!AM$33</f>
        <v>0</v>
      </c>
      <c r="AN40" s="142">
        <f>Time!AN$33</f>
        <v>0</v>
      </c>
      <c r="AO40" s="142">
        <f>Time!AO$33</f>
        <v>0</v>
      </c>
      <c r="AP40" s="142">
        <f>Time!AP$33</f>
        <v>0</v>
      </c>
      <c r="AQ40" s="142">
        <f>Time!AQ$33</f>
        <v>0</v>
      </c>
      <c r="AR40" s="142">
        <f>Time!AR$33</f>
        <v>0</v>
      </c>
      <c r="AS40" s="142">
        <f>Time!AS$33</f>
        <v>0</v>
      </c>
      <c r="AT40" s="142">
        <f>Time!AT$33</f>
        <v>0</v>
      </c>
      <c r="AU40" s="142">
        <f>Time!AU$33</f>
        <v>0</v>
      </c>
      <c r="AV40" s="142">
        <f>Time!AV$33</f>
        <v>0</v>
      </c>
      <c r="AW40" s="142">
        <f>Time!AW$33</f>
        <v>0</v>
      </c>
      <c r="AX40" s="142">
        <f>Time!AX$33</f>
        <v>0</v>
      </c>
      <c r="AY40" s="142">
        <f>Time!AY$33</f>
        <v>0</v>
      </c>
      <c r="AZ40" s="142">
        <f>Time!AZ$33</f>
        <v>0</v>
      </c>
      <c r="BA40" s="142">
        <f>Time!BA$33</f>
        <v>0</v>
      </c>
      <c r="BB40" s="142">
        <f>Time!BB$33</f>
        <v>0</v>
      </c>
      <c r="BC40" s="142">
        <f>Time!BC$33</f>
        <v>0</v>
      </c>
      <c r="BD40" s="142">
        <f>Time!BD$33</f>
        <v>0</v>
      </c>
      <c r="BE40" s="142">
        <f>Time!BE$33</f>
        <v>0</v>
      </c>
      <c r="BF40" s="142">
        <f>Time!BF$33</f>
        <v>0</v>
      </c>
      <c r="BG40" s="142">
        <f>Time!BG$33</f>
        <v>0</v>
      </c>
      <c r="BH40" s="142">
        <f>Time!BH$33</f>
        <v>0</v>
      </c>
      <c r="BI40" s="142">
        <f>Time!BI$33</f>
        <v>0</v>
      </c>
      <c r="BJ40" s="142">
        <f>Time!BJ$33</f>
        <v>0</v>
      </c>
      <c r="BK40" s="142">
        <f>Time!BK$33</f>
        <v>0</v>
      </c>
      <c r="BL40" s="142">
        <f>Time!BL$33</f>
        <v>0</v>
      </c>
      <c r="BM40" s="142">
        <f>Time!BM$33</f>
        <v>0</v>
      </c>
      <c r="BN40" s="142">
        <f>Time!BN$33</f>
        <v>0</v>
      </c>
      <c r="BO40" s="142">
        <f>Time!BO$33</f>
        <v>0</v>
      </c>
      <c r="BP40" s="142">
        <f>Time!BP$33</f>
        <v>0</v>
      </c>
      <c r="BQ40" s="142">
        <f>Time!BQ$33</f>
        <v>0</v>
      </c>
      <c r="BR40" s="142">
        <f>Time!BR$33</f>
        <v>0</v>
      </c>
      <c r="BS40" s="142">
        <f>Time!BS$33</f>
        <v>0</v>
      </c>
      <c r="BT40" s="142">
        <f>Time!BT$33</f>
        <v>0</v>
      </c>
      <c r="BU40" s="142">
        <f>Time!BU$33</f>
        <v>0</v>
      </c>
      <c r="BV40" s="142">
        <f>Time!BV$33</f>
        <v>0</v>
      </c>
      <c r="BW40" s="142">
        <f>Time!BW$33</f>
        <v>0</v>
      </c>
      <c r="BX40" s="142">
        <f>Time!BX$33</f>
        <v>0</v>
      </c>
      <c r="BY40" s="142">
        <f>Time!BY$33</f>
        <v>0</v>
      </c>
    </row>
    <row r="41" spans="1:77" s="35" customFormat="1" x14ac:dyDescent="0.2">
      <c r="A41" s="8"/>
      <c r="B41" s="8"/>
      <c r="C41" s="9"/>
      <c r="D41" s="40"/>
    </row>
    <row r="42" spans="1:77" s="35" customFormat="1" x14ac:dyDescent="0.2">
      <c r="A42" s="8"/>
      <c r="B42" s="8"/>
      <c r="C42" s="9"/>
      <c r="D42" s="40"/>
      <c r="E42" s="37" t="s">
        <v>41</v>
      </c>
      <c r="G42" s="37" t="s">
        <v>22</v>
      </c>
      <c r="J42" s="35">
        <f t="shared" ref="J42:BU42" si="14" xml:space="preserve"> I45</f>
        <v>0</v>
      </c>
      <c r="K42" s="35">
        <f t="shared" si="14"/>
        <v>1500</v>
      </c>
      <c r="L42" s="35">
        <f t="shared" si="14"/>
        <v>1640</v>
      </c>
      <c r="M42" s="35">
        <f t="shared" si="14"/>
        <v>1708</v>
      </c>
      <c r="N42" s="35">
        <f t="shared" si="14"/>
        <v>1776</v>
      </c>
      <c r="O42" s="35">
        <f t="shared" si="14"/>
        <v>1916</v>
      </c>
      <c r="P42" s="35">
        <f t="shared" si="14"/>
        <v>1984</v>
      </c>
      <c r="Q42" s="35">
        <f t="shared" si="14"/>
        <v>2124</v>
      </c>
      <c r="R42" s="35">
        <f t="shared" si="14"/>
        <v>2192</v>
      </c>
      <c r="S42" s="35">
        <f t="shared" si="14"/>
        <v>2260</v>
      </c>
      <c r="T42" s="35">
        <f t="shared" si="14"/>
        <v>2472</v>
      </c>
      <c r="U42" s="35">
        <f t="shared" si="14"/>
        <v>2540</v>
      </c>
      <c r="V42" s="35">
        <f t="shared" si="14"/>
        <v>2680</v>
      </c>
      <c r="W42" s="35">
        <f t="shared" si="14"/>
        <v>2748</v>
      </c>
      <c r="X42" s="35">
        <f t="shared" si="14"/>
        <v>2888</v>
      </c>
      <c r="Y42" s="35">
        <f t="shared" si="14"/>
        <v>2956</v>
      </c>
      <c r="Z42" s="35">
        <f t="shared" si="14"/>
        <v>3024</v>
      </c>
      <c r="AA42" s="35">
        <f t="shared" si="14"/>
        <v>3164</v>
      </c>
      <c r="AB42" s="35">
        <f t="shared" si="14"/>
        <v>3232</v>
      </c>
      <c r="AC42" s="35">
        <f t="shared" si="14"/>
        <v>3372</v>
      </c>
      <c r="AD42" s="35">
        <f t="shared" si="14"/>
        <v>3440</v>
      </c>
      <c r="AE42" s="35">
        <f t="shared" si="14"/>
        <v>3508</v>
      </c>
      <c r="AF42" s="35">
        <f t="shared" si="14"/>
        <v>3792</v>
      </c>
      <c r="AG42" s="35">
        <f t="shared" si="14"/>
        <v>3860</v>
      </c>
      <c r="AH42" s="35">
        <f t="shared" si="14"/>
        <v>4000</v>
      </c>
      <c r="AI42" s="35">
        <f t="shared" si="14"/>
        <v>4068</v>
      </c>
      <c r="AJ42" s="35">
        <f t="shared" si="14"/>
        <v>4208</v>
      </c>
      <c r="AK42" s="35">
        <f t="shared" si="14"/>
        <v>4276</v>
      </c>
      <c r="AL42" s="35">
        <f t="shared" si="14"/>
        <v>4344</v>
      </c>
      <c r="AM42" s="35">
        <f t="shared" si="14"/>
        <v>4484</v>
      </c>
      <c r="AN42" s="35">
        <f t="shared" si="14"/>
        <v>4552</v>
      </c>
      <c r="AO42" s="35">
        <f t="shared" si="14"/>
        <v>4692</v>
      </c>
      <c r="AP42" s="35">
        <f t="shared" si="14"/>
        <v>4760</v>
      </c>
      <c r="AQ42" s="35">
        <f t="shared" si="14"/>
        <v>4828</v>
      </c>
      <c r="AR42" s="35">
        <f t="shared" si="14"/>
        <v>5112</v>
      </c>
      <c r="AS42" s="35">
        <f t="shared" si="14"/>
        <v>5180</v>
      </c>
      <c r="AT42" s="35">
        <f t="shared" si="14"/>
        <v>5320</v>
      </c>
      <c r="AU42" s="35">
        <f t="shared" si="14"/>
        <v>5388</v>
      </c>
      <c r="AV42" s="35">
        <f t="shared" si="14"/>
        <v>5528</v>
      </c>
      <c r="AW42" s="35">
        <f t="shared" si="14"/>
        <v>5596</v>
      </c>
      <c r="AX42" s="35">
        <f t="shared" si="14"/>
        <v>5664</v>
      </c>
      <c r="AY42" s="35">
        <f t="shared" si="14"/>
        <v>5804</v>
      </c>
      <c r="AZ42" s="35">
        <f t="shared" si="14"/>
        <v>5872</v>
      </c>
      <c r="BA42" s="35">
        <f t="shared" si="14"/>
        <v>6012</v>
      </c>
      <c r="BB42" s="35">
        <f t="shared" si="14"/>
        <v>6080</v>
      </c>
      <c r="BC42" s="35">
        <f t="shared" si="14"/>
        <v>6148</v>
      </c>
      <c r="BD42" s="35">
        <f t="shared" si="14"/>
        <v>6432</v>
      </c>
      <c r="BE42" s="35">
        <f t="shared" si="14"/>
        <v>6500</v>
      </c>
      <c r="BF42" s="35">
        <f t="shared" si="14"/>
        <v>6640</v>
      </c>
      <c r="BG42" s="35">
        <f t="shared" si="14"/>
        <v>6708</v>
      </c>
      <c r="BH42" s="35">
        <f t="shared" si="14"/>
        <v>6848</v>
      </c>
      <c r="BI42" s="35">
        <f t="shared" si="14"/>
        <v>6916</v>
      </c>
      <c r="BJ42" s="35">
        <f t="shared" si="14"/>
        <v>6984</v>
      </c>
      <c r="BK42" s="35">
        <f t="shared" si="14"/>
        <v>7124</v>
      </c>
      <c r="BL42" s="35">
        <f t="shared" si="14"/>
        <v>7192</v>
      </c>
      <c r="BM42" s="35">
        <f t="shared" si="14"/>
        <v>7332</v>
      </c>
      <c r="BN42" s="35">
        <f t="shared" si="14"/>
        <v>7400</v>
      </c>
      <c r="BO42" s="35">
        <f t="shared" si="14"/>
        <v>7468</v>
      </c>
      <c r="BP42" s="35">
        <f t="shared" si="14"/>
        <v>7680</v>
      </c>
      <c r="BQ42" s="35">
        <f t="shared" si="14"/>
        <v>7748</v>
      </c>
      <c r="BR42" s="35">
        <f t="shared" si="14"/>
        <v>7888</v>
      </c>
      <c r="BS42" s="35">
        <f t="shared" si="14"/>
        <v>7956</v>
      </c>
      <c r="BT42" s="35">
        <f t="shared" si="14"/>
        <v>7956</v>
      </c>
      <c r="BU42" s="35">
        <f t="shared" si="14"/>
        <v>7956</v>
      </c>
      <c r="BV42" s="35">
        <f xml:space="preserve"> BU45</f>
        <v>7956</v>
      </c>
      <c r="BW42" s="35">
        <f xml:space="preserve"> BV45</f>
        <v>7956</v>
      </c>
      <c r="BX42" s="35">
        <f xml:space="preserve"> BW45</f>
        <v>7956</v>
      </c>
      <c r="BY42" s="35">
        <f xml:space="preserve"> BX45</f>
        <v>7956</v>
      </c>
    </row>
    <row r="43" spans="1:77" s="37" customFormat="1" x14ac:dyDescent="0.2">
      <c r="A43" s="50"/>
      <c r="B43" s="50"/>
      <c r="C43" s="51"/>
      <c r="D43" s="53" t="s">
        <v>77</v>
      </c>
      <c r="E43" s="37" t="str">
        <f xml:space="preserve"> E$12</f>
        <v>Forecast waste received</v>
      </c>
      <c r="F43" s="37">
        <f t="shared" ref="F43:BQ43" si="15" xml:space="preserve"> F$12</f>
        <v>0</v>
      </c>
      <c r="G43" s="37" t="str">
        <f t="shared" si="15"/>
        <v>tonnes</v>
      </c>
      <c r="H43" s="37">
        <f t="shared" si="15"/>
        <v>138000</v>
      </c>
      <c r="I43" s="37">
        <f t="shared" si="15"/>
        <v>0</v>
      </c>
      <c r="J43" s="37">
        <f t="shared" si="15"/>
        <v>0</v>
      </c>
      <c r="K43" s="37">
        <f t="shared" si="15"/>
        <v>2300</v>
      </c>
      <c r="L43" s="37">
        <f t="shared" si="15"/>
        <v>2300</v>
      </c>
      <c r="M43" s="37">
        <f t="shared" si="15"/>
        <v>2300</v>
      </c>
      <c r="N43" s="37">
        <f t="shared" si="15"/>
        <v>2300</v>
      </c>
      <c r="O43" s="37">
        <f t="shared" si="15"/>
        <v>2300</v>
      </c>
      <c r="P43" s="37">
        <f t="shared" si="15"/>
        <v>2300</v>
      </c>
      <c r="Q43" s="37">
        <f t="shared" si="15"/>
        <v>2300</v>
      </c>
      <c r="R43" s="37">
        <f t="shared" si="15"/>
        <v>2300</v>
      </c>
      <c r="S43" s="37">
        <f t="shared" si="15"/>
        <v>2300</v>
      </c>
      <c r="T43" s="37">
        <f t="shared" si="15"/>
        <v>2300</v>
      </c>
      <c r="U43" s="37">
        <f t="shared" si="15"/>
        <v>2300</v>
      </c>
      <c r="V43" s="37">
        <f t="shared" si="15"/>
        <v>2300</v>
      </c>
      <c r="W43" s="37">
        <f t="shared" si="15"/>
        <v>2300</v>
      </c>
      <c r="X43" s="37">
        <f t="shared" si="15"/>
        <v>2300</v>
      </c>
      <c r="Y43" s="37">
        <f t="shared" si="15"/>
        <v>2300</v>
      </c>
      <c r="Z43" s="37">
        <f t="shared" si="15"/>
        <v>2300</v>
      </c>
      <c r="AA43" s="37">
        <f t="shared" si="15"/>
        <v>2300</v>
      </c>
      <c r="AB43" s="37">
        <f t="shared" si="15"/>
        <v>2300</v>
      </c>
      <c r="AC43" s="37">
        <f t="shared" si="15"/>
        <v>2300</v>
      </c>
      <c r="AD43" s="37">
        <f t="shared" si="15"/>
        <v>2300</v>
      </c>
      <c r="AE43" s="37">
        <f t="shared" si="15"/>
        <v>2300</v>
      </c>
      <c r="AF43" s="37">
        <f t="shared" si="15"/>
        <v>2300</v>
      </c>
      <c r="AG43" s="37">
        <f t="shared" si="15"/>
        <v>2300</v>
      </c>
      <c r="AH43" s="37">
        <f t="shared" si="15"/>
        <v>2300</v>
      </c>
      <c r="AI43" s="37">
        <f t="shared" si="15"/>
        <v>2300</v>
      </c>
      <c r="AJ43" s="37">
        <f t="shared" si="15"/>
        <v>2300</v>
      </c>
      <c r="AK43" s="37">
        <f t="shared" si="15"/>
        <v>2300</v>
      </c>
      <c r="AL43" s="37">
        <f t="shared" si="15"/>
        <v>2300</v>
      </c>
      <c r="AM43" s="37">
        <f t="shared" si="15"/>
        <v>2300</v>
      </c>
      <c r="AN43" s="37">
        <f t="shared" si="15"/>
        <v>2300</v>
      </c>
      <c r="AO43" s="37">
        <f t="shared" si="15"/>
        <v>2300</v>
      </c>
      <c r="AP43" s="37">
        <f t="shared" si="15"/>
        <v>2300</v>
      </c>
      <c r="AQ43" s="37">
        <f t="shared" si="15"/>
        <v>2300</v>
      </c>
      <c r="AR43" s="37">
        <f t="shared" si="15"/>
        <v>2300</v>
      </c>
      <c r="AS43" s="37">
        <f t="shared" si="15"/>
        <v>2300</v>
      </c>
      <c r="AT43" s="37">
        <f t="shared" si="15"/>
        <v>2300</v>
      </c>
      <c r="AU43" s="37">
        <f t="shared" si="15"/>
        <v>2300</v>
      </c>
      <c r="AV43" s="37">
        <f t="shared" si="15"/>
        <v>2300</v>
      </c>
      <c r="AW43" s="37">
        <f t="shared" si="15"/>
        <v>2300</v>
      </c>
      <c r="AX43" s="37">
        <f t="shared" si="15"/>
        <v>2300</v>
      </c>
      <c r="AY43" s="37">
        <f t="shared" si="15"/>
        <v>2300</v>
      </c>
      <c r="AZ43" s="37">
        <f t="shared" si="15"/>
        <v>2300</v>
      </c>
      <c r="BA43" s="37">
        <f t="shared" si="15"/>
        <v>2300</v>
      </c>
      <c r="BB43" s="37">
        <f t="shared" si="15"/>
        <v>2300</v>
      </c>
      <c r="BC43" s="37">
        <f t="shared" si="15"/>
        <v>2300</v>
      </c>
      <c r="BD43" s="37">
        <f t="shared" si="15"/>
        <v>2300</v>
      </c>
      <c r="BE43" s="37">
        <f t="shared" si="15"/>
        <v>2300</v>
      </c>
      <c r="BF43" s="37">
        <f t="shared" si="15"/>
        <v>2300</v>
      </c>
      <c r="BG43" s="37">
        <f t="shared" si="15"/>
        <v>2300</v>
      </c>
      <c r="BH43" s="37">
        <f t="shared" si="15"/>
        <v>2300</v>
      </c>
      <c r="BI43" s="37">
        <f t="shared" si="15"/>
        <v>2300</v>
      </c>
      <c r="BJ43" s="37">
        <f t="shared" si="15"/>
        <v>2300</v>
      </c>
      <c r="BK43" s="37">
        <f t="shared" si="15"/>
        <v>2300</v>
      </c>
      <c r="BL43" s="37">
        <f t="shared" si="15"/>
        <v>2300</v>
      </c>
      <c r="BM43" s="37">
        <f t="shared" si="15"/>
        <v>2300</v>
      </c>
      <c r="BN43" s="37">
        <f t="shared" si="15"/>
        <v>2300</v>
      </c>
      <c r="BO43" s="37">
        <f t="shared" si="15"/>
        <v>2300</v>
      </c>
      <c r="BP43" s="37">
        <f t="shared" si="15"/>
        <v>2300</v>
      </c>
      <c r="BQ43" s="37">
        <f t="shared" si="15"/>
        <v>2300</v>
      </c>
      <c r="BR43" s="37">
        <f t="shared" ref="BR43:BY43" si="16" xml:space="preserve"> BR$12</f>
        <v>2300</v>
      </c>
      <c r="BS43" s="37">
        <f t="shared" si="16"/>
        <v>0</v>
      </c>
      <c r="BT43" s="37">
        <f t="shared" si="16"/>
        <v>0</v>
      </c>
      <c r="BU43" s="37">
        <f t="shared" si="16"/>
        <v>0</v>
      </c>
      <c r="BV43" s="37">
        <f t="shared" si="16"/>
        <v>0</v>
      </c>
      <c r="BW43" s="37">
        <f t="shared" si="16"/>
        <v>0</v>
      </c>
      <c r="BX43" s="37">
        <f t="shared" si="16"/>
        <v>0</v>
      </c>
      <c r="BY43" s="37">
        <f t="shared" si="16"/>
        <v>0</v>
      </c>
    </row>
    <row r="44" spans="1:77" s="35" customFormat="1" x14ac:dyDescent="0.2">
      <c r="A44" s="8"/>
      <c r="B44" s="50"/>
      <c r="C44" s="51"/>
      <c r="D44" s="40" t="s">
        <v>78</v>
      </c>
      <c r="E44" s="35" t="str">
        <f xml:space="preserve"> E$26</f>
        <v>Forecast waste processed</v>
      </c>
      <c r="F44" s="35">
        <f t="shared" ref="F44:BQ44" si="17" xml:space="preserve"> F$26</f>
        <v>0</v>
      </c>
      <c r="G44" s="35" t="str">
        <f t="shared" si="17"/>
        <v>tonnes</v>
      </c>
      <c r="H44" s="35">
        <f t="shared" si="17"/>
        <v>131544</v>
      </c>
      <c r="I44" s="35">
        <f t="shared" si="17"/>
        <v>0</v>
      </c>
      <c r="J44" s="35">
        <f t="shared" si="17"/>
        <v>0</v>
      </c>
      <c r="K44" s="35">
        <f t="shared" si="17"/>
        <v>2160</v>
      </c>
      <c r="L44" s="35">
        <f t="shared" si="17"/>
        <v>2232</v>
      </c>
      <c r="M44" s="35">
        <f t="shared" si="17"/>
        <v>2232</v>
      </c>
      <c r="N44" s="35">
        <f t="shared" si="17"/>
        <v>2160</v>
      </c>
      <c r="O44" s="35">
        <f t="shared" si="17"/>
        <v>2232</v>
      </c>
      <c r="P44" s="35">
        <f t="shared" si="17"/>
        <v>2160</v>
      </c>
      <c r="Q44" s="35">
        <f t="shared" si="17"/>
        <v>2232</v>
      </c>
      <c r="R44" s="35">
        <f t="shared" si="17"/>
        <v>2232</v>
      </c>
      <c r="S44" s="35">
        <f t="shared" si="17"/>
        <v>2088</v>
      </c>
      <c r="T44" s="35">
        <f t="shared" si="17"/>
        <v>2232</v>
      </c>
      <c r="U44" s="35">
        <f t="shared" si="17"/>
        <v>2160</v>
      </c>
      <c r="V44" s="35">
        <f t="shared" si="17"/>
        <v>2232</v>
      </c>
      <c r="W44" s="35">
        <f t="shared" si="17"/>
        <v>2160</v>
      </c>
      <c r="X44" s="35">
        <f t="shared" si="17"/>
        <v>2232</v>
      </c>
      <c r="Y44" s="35">
        <f t="shared" si="17"/>
        <v>2232</v>
      </c>
      <c r="Z44" s="35">
        <f t="shared" si="17"/>
        <v>2160</v>
      </c>
      <c r="AA44" s="35">
        <f t="shared" si="17"/>
        <v>2232</v>
      </c>
      <c r="AB44" s="35">
        <f t="shared" si="17"/>
        <v>2160</v>
      </c>
      <c r="AC44" s="35">
        <f t="shared" si="17"/>
        <v>2232</v>
      </c>
      <c r="AD44" s="35">
        <f t="shared" si="17"/>
        <v>2232</v>
      </c>
      <c r="AE44" s="35">
        <f t="shared" si="17"/>
        <v>2016</v>
      </c>
      <c r="AF44" s="35">
        <f t="shared" si="17"/>
        <v>2232</v>
      </c>
      <c r="AG44" s="35">
        <f t="shared" si="17"/>
        <v>2160</v>
      </c>
      <c r="AH44" s="35">
        <f t="shared" si="17"/>
        <v>2232</v>
      </c>
      <c r="AI44" s="35">
        <f t="shared" si="17"/>
        <v>2160</v>
      </c>
      <c r="AJ44" s="35">
        <f t="shared" si="17"/>
        <v>2232</v>
      </c>
      <c r="AK44" s="35">
        <f t="shared" si="17"/>
        <v>2232</v>
      </c>
      <c r="AL44" s="35">
        <f t="shared" si="17"/>
        <v>2160</v>
      </c>
      <c r="AM44" s="35">
        <f t="shared" si="17"/>
        <v>2232</v>
      </c>
      <c r="AN44" s="35">
        <f t="shared" si="17"/>
        <v>2160</v>
      </c>
      <c r="AO44" s="35">
        <f t="shared" si="17"/>
        <v>2232</v>
      </c>
      <c r="AP44" s="35">
        <f t="shared" si="17"/>
        <v>2232</v>
      </c>
      <c r="AQ44" s="35">
        <f t="shared" si="17"/>
        <v>2016</v>
      </c>
      <c r="AR44" s="35">
        <f t="shared" si="17"/>
        <v>2232</v>
      </c>
      <c r="AS44" s="35">
        <f t="shared" si="17"/>
        <v>2160</v>
      </c>
      <c r="AT44" s="35">
        <f t="shared" si="17"/>
        <v>2232</v>
      </c>
      <c r="AU44" s="35">
        <f t="shared" si="17"/>
        <v>2160</v>
      </c>
      <c r="AV44" s="35">
        <f t="shared" si="17"/>
        <v>2232</v>
      </c>
      <c r="AW44" s="35">
        <f t="shared" si="17"/>
        <v>2232</v>
      </c>
      <c r="AX44" s="35">
        <f t="shared" si="17"/>
        <v>2160</v>
      </c>
      <c r="AY44" s="35">
        <f t="shared" si="17"/>
        <v>2232</v>
      </c>
      <c r="AZ44" s="35">
        <f t="shared" si="17"/>
        <v>2160</v>
      </c>
      <c r="BA44" s="35">
        <f t="shared" si="17"/>
        <v>2232</v>
      </c>
      <c r="BB44" s="35">
        <f t="shared" si="17"/>
        <v>2232</v>
      </c>
      <c r="BC44" s="35">
        <f t="shared" si="17"/>
        <v>2016</v>
      </c>
      <c r="BD44" s="35">
        <f t="shared" si="17"/>
        <v>2232</v>
      </c>
      <c r="BE44" s="35">
        <f t="shared" si="17"/>
        <v>2160</v>
      </c>
      <c r="BF44" s="35">
        <f t="shared" si="17"/>
        <v>2232</v>
      </c>
      <c r="BG44" s="35">
        <f t="shared" si="17"/>
        <v>2160</v>
      </c>
      <c r="BH44" s="35">
        <f t="shared" si="17"/>
        <v>2232</v>
      </c>
      <c r="BI44" s="35">
        <f t="shared" si="17"/>
        <v>2232</v>
      </c>
      <c r="BJ44" s="35">
        <f t="shared" si="17"/>
        <v>2160</v>
      </c>
      <c r="BK44" s="35">
        <f t="shared" si="17"/>
        <v>2232</v>
      </c>
      <c r="BL44" s="35">
        <f t="shared" si="17"/>
        <v>2160</v>
      </c>
      <c r="BM44" s="35">
        <f t="shared" si="17"/>
        <v>2232</v>
      </c>
      <c r="BN44" s="35">
        <f t="shared" si="17"/>
        <v>2232</v>
      </c>
      <c r="BO44" s="35">
        <f t="shared" si="17"/>
        <v>2088</v>
      </c>
      <c r="BP44" s="35">
        <f t="shared" si="17"/>
        <v>2232</v>
      </c>
      <c r="BQ44" s="35">
        <f t="shared" si="17"/>
        <v>2160</v>
      </c>
      <c r="BR44" s="35">
        <f t="shared" ref="BR44:BY44" si="18" xml:space="preserve"> BR$26</f>
        <v>2232</v>
      </c>
      <c r="BS44" s="35">
        <f t="shared" si="18"/>
        <v>0</v>
      </c>
      <c r="BT44" s="35">
        <f t="shared" si="18"/>
        <v>0</v>
      </c>
      <c r="BU44" s="35">
        <f t="shared" si="18"/>
        <v>0</v>
      </c>
      <c r="BV44" s="35">
        <f t="shared" si="18"/>
        <v>0</v>
      </c>
      <c r="BW44" s="35">
        <f t="shared" si="18"/>
        <v>0</v>
      </c>
      <c r="BX44" s="35">
        <f t="shared" si="18"/>
        <v>0</v>
      </c>
      <c r="BY44" s="35">
        <f t="shared" si="18"/>
        <v>0</v>
      </c>
    </row>
    <row r="45" spans="1:77" s="4" customFormat="1" x14ac:dyDescent="0.2">
      <c r="A45" s="86"/>
      <c r="B45" s="86"/>
      <c r="C45" s="87"/>
      <c r="D45" s="88"/>
      <c r="E45" s="89" t="s">
        <v>42</v>
      </c>
      <c r="G45" s="89" t="s">
        <v>22</v>
      </c>
      <c r="I45" s="90"/>
      <c r="J45" s="4">
        <f t="shared" ref="J45:BU45" si="19" xml:space="preserve"> IF( J40 = 1, $F39, J42 + J43 - J44)</f>
        <v>1500</v>
      </c>
      <c r="K45" s="4">
        <f t="shared" si="19"/>
        <v>1640</v>
      </c>
      <c r="L45" s="4">
        <f t="shared" si="19"/>
        <v>1708</v>
      </c>
      <c r="M45" s="4">
        <f t="shared" si="19"/>
        <v>1776</v>
      </c>
      <c r="N45" s="4">
        <f t="shared" si="19"/>
        <v>1916</v>
      </c>
      <c r="O45" s="4">
        <f t="shared" si="19"/>
        <v>1984</v>
      </c>
      <c r="P45" s="4">
        <f t="shared" si="19"/>
        <v>2124</v>
      </c>
      <c r="Q45" s="4">
        <f t="shared" si="19"/>
        <v>2192</v>
      </c>
      <c r="R45" s="4">
        <f t="shared" si="19"/>
        <v>2260</v>
      </c>
      <c r="S45" s="4">
        <f t="shared" si="19"/>
        <v>2472</v>
      </c>
      <c r="T45" s="4">
        <f t="shared" si="19"/>
        <v>2540</v>
      </c>
      <c r="U45" s="4">
        <f t="shared" si="19"/>
        <v>2680</v>
      </c>
      <c r="V45" s="4">
        <f t="shared" si="19"/>
        <v>2748</v>
      </c>
      <c r="W45" s="4">
        <f t="shared" si="19"/>
        <v>2888</v>
      </c>
      <c r="X45" s="4">
        <f t="shared" si="19"/>
        <v>2956</v>
      </c>
      <c r="Y45" s="4">
        <f t="shared" si="19"/>
        <v>3024</v>
      </c>
      <c r="Z45" s="4">
        <f t="shared" si="19"/>
        <v>3164</v>
      </c>
      <c r="AA45" s="4">
        <f t="shared" si="19"/>
        <v>3232</v>
      </c>
      <c r="AB45" s="4">
        <f t="shared" si="19"/>
        <v>3372</v>
      </c>
      <c r="AC45" s="4">
        <f t="shared" si="19"/>
        <v>3440</v>
      </c>
      <c r="AD45" s="4">
        <f t="shared" si="19"/>
        <v>3508</v>
      </c>
      <c r="AE45" s="4">
        <f t="shared" si="19"/>
        <v>3792</v>
      </c>
      <c r="AF45" s="4">
        <f t="shared" si="19"/>
        <v>3860</v>
      </c>
      <c r="AG45" s="4">
        <f t="shared" si="19"/>
        <v>4000</v>
      </c>
      <c r="AH45" s="4">
        <f t="shared" si="19"/>
        <v>4068</v>
      </c>
      <c r="AI45" s="4">
        <f t="shared" si="19"/>
        <v>4208</v>
      </c>
      <c r="AJ45" s="4">
        <f t="shared" si="19"/>
        <v>4276</v>
      </c>
      <c r="AK45" s="4">
        <f t="shared" si="19"/>
        <v>4344</v>
      </c>
      <c r="AL45" s="4">
        <f t="shared" si="19"/>
        <v>4484</v>
      </c>
      <c r="AM45" s="4">
        <f t="shared" si="19"/>
        <v>4552</v>
      </c>
      <c r="AN45" s="4">
        <f t="shared" si="19"/>
        <v>4692</v>
      </c>
      <c r="AO45" s="4">
        <f t="shared" si="19"/>
        <v>4760</v>
      </c>
      <c r="AP45" s="4">
        <f t="shared" si="19"/>
        <v>4828</v>
      </c>
      <c r="AQ45" s="4">
        <f t="shared" si="19"/>
        <v>5112</v>
      </c>
      <c r="AR45" s="4">
        <f t="shared" si="19"/>
        <v>5180</v>
      </c>
      <c r="AS45" s="4">
        <f t="shared" si="19"/>
        <v>5320</v>
      </c>
      <c r="AT45" s="4">
        <f t="shared" si="19"/>
        <v>5388</v>
      </c>
      <c r="AU45" s="4">
        <f t="shared" si="19"/>
        <v>5528</v>
      </c>
      <c r="AV45" s="4">
        <f t="shared" si="19"/>
        <v>5596</v>
      </c>
      <c r="AW45" s="4">
        <f t="shared" si="19"/>
        <v>5664</v>
      </c>
      <c r="AX45" s="4">
        <f t="shared" si="19"/>
        <v>5804</v>
      </c>
      <c r="AY45" s="4">
        <f t="shared" si="19"/>
        <v>5872</v>
      </c>
      <c r="AZ45" s="4">
        <f t="shared" si="19"/>
        <v>6012</v>
      </c>
      <c r="BA45" s="4">
        <f t="shared" si="19"/>
        <v>6080</v>
      </c>
      <c r="BB45" s="4">
        <f t="shared" si="19"/>
        <v>6148</v>
      </c>
      <c r="BC45" s="4">
        <f t="shared" si="19"/>
        <v>6432</v>
      </c>
      <c r="BD45" s="4">
        <f t="shared" si="19"/>
        <v>6500</v>
      </c>
      <c r="BE45" s="4">
        <f t="shared" si="19"/>
        <v>6640</v>
      </c>
      <c r="BF45" s="4">
        <f t="shared" si="19"/>
        <v>6708</v>
      </c>
      <c r="BG45" s="4">
        <f t="shared" si="19"/>
        <v>6848</v>
      </c>
      <c r="BH45" s="4">
        <f t="shared" si="19"/>
        <v>6916</v>
      </c>
      <c r="BI45" s="4">
        <f t="shared" si="19"/>
        <v>6984</v>
      </c>
      <c r="BJ45" s="4">
        <f t="shared" si="19"/>
        <v>7124</v>
      </c>
      <c r="BK45" s="4">
        <f t="shared" si="19"/>
        <v>7192</v>
      </c>
      <c r="BL45" s="4">
        <f t="shared" si="19"/>
        <v>7332</v>
      </c>
      <c r="BM45" s="4">
        <f t="shared" si="19"/>
        <v>7400</v>
      </c>
      <c r="BN45" s="4">
        <f t="shared" si="19"/>
        <v>7468</v>
      </c>
      <c r="BO45" s="4">
        <f t="shared" si="19"/>
        <v>7680</v>
      </c>
      <c r="BP45" s="4">
        <f t="shared" si="19"/>
        <v>7748</v>
      </c>
      <c r="BQ45" s="4">
        <f t="shared" si="19"/>
        <v>7888</v>
      </c>
      <c r="BR45" s="4">
        <f t="shared" si="19"/>
        <v>7956</v>
      </c>
      <c r="BS45" s="4">
        <f t="shared" si="19"/>
        <v>7956</v>
      </c>
      <c r="BT45" s="4">
        <f t="shared" si="19"/>
        <v>7956</v>
      </c>
      <c r="BU45" s="4">
        <f t="shared" si="19"/>
        <v>7956</v>
      </c>
      <c r="BV45" s="4">
        <f xml:space="preserve"> IF( BV40 = 1, $F39, BV42 + BV43 - BV44)</f>
        <v>7956</v>
      </c>
      <c r="BW45" s="4">
        <f xml:space="preserve"> IF( BW40 = 1, $F39, BW42 + BW43 - BW44)</f>
        <v>7956</v>
      </c>
      <c r="BX45" s="4">
        <f xml:space="preserve"> IF( BX40 = 1, $F39, BX42 + BX43 - BX44)</f>
        <v>7956</v>
      </c>
      <c r="BY45" s="4">
        <f xml:space="preserve"> IF( BY40 = 1, $F39, BY42 + BY43 - BY44)</f>
        <v>7956</v>
      </c>
    </row>
    <row r="46" spans="1:77" s="35" customFormat="1" x14ac:dyDescent="0.2">
      <c r="A46" s="8"/>
      <c r="B46" s="50"/>
      <c r="C46" s="51"/>
      <c r="D46" s="40"/>
    </row>
    <row r="47" spans="1:77" s="151" customFormat="1" x14ac:dyDescent="0.2">
      <c r="E47" s="151" t="s">
        <v>44</v>
      </c>
      <c r="F47" s="152">
        <v>4.0999999999999996</v>
      </c>
      <c r="G47" s="151" t="s">
        <v>88</v>
      </c>
    </row>
    <row r="48" spans="1:77" x14ac:dyDescent="0.2">
      <c r="E48" s="2" t="str">
        <f xml:space="preserve"> E$45</f>
        <v>Biomass waste balance</v>
      </c>
      <c r="F48" s="2">
        <f t="shared" ref="F48:BQ48" si="20" xml:space="preserve"> F$45</f>
        <v>0</v>
      </c>
      <c r="G48" s="2" t="str">
        <f t="shared" si="20"/>
        <v>tonnes</v>
      </c>
      <c r="H48" s="2">
        <f t="shared" si="20"/>
        <v>0</v>
      </c>
      <c r="I48" s="2">
        <f t="shared" si="20"/>
        <v>0</v>
      </c>
      <c r="J48" s="2">
        <f t="shared" si="20"/>
        <v>1500</v>
      </c>
      <c r="K48" s="2">
        <f t="shared" si="20"/>
        <v>1640</v>
      </c>
      <c r="L48" s="2">
        <f t="shared" si="20"/>
        <v>1708</v>
      </c>
      <c r="M48" s="2">
        <f t="shared" si="20"/>
        <v>1776</v>
      </c>
      <c r="N48" s="2">
        <f t="shared" si="20"/>
        <v>1916</v>
      </c>
      <c r="O48" s="2">
        <f t="shared" si="20"/>
        <v>1984</v>
      </c>
      <c r="P48" s="2">
        <f t="shared" si="20"/>
        <v>2124</v>
      </c>
      <c r="Q48" s="2">
        <f t="shared" si="20"/>
        <v>2192</v>
      </c>
      <c r="R48" s="2">
        <f t="shared" si="20"/>
        <v>2260</v>
      </c>
      <c r="S48" s="2">
        <f t="shared" si="20"/>
        <v>2472</v>
      </c>
      <c r="T48" s="2">
        <f t="shared" si="20"/>
        <v>2540</v>
      </c>
      <c r="U48" s="2">
        <f t="shared" si="20"/>
        <v>2680</v>
      </c>
      <c r="V48" s="2">
        <f t="shared" si="20"/>
        <v>2748</v>
      </c>
      <c r="W48" s="2">
        <f t="shared" si="20"/>
        <v>2888</v>
      </c>
      <c r="X48" s="2">
        <f t="shared" si="20"/>
        <v>2956</v>
      </c>
      <c r="Y48" s="2">
        <f t="shared" si="20"/>
        <v>3024</v>
      </c>
      <c r="Z48" s="2">
        <f t="shared" si="20"/>
        <v>3164</v>
      </c>
      <c r="AA48" s="2">
        <f t="shared" si="20"/>
        <v>3232</v>
      </c>
      <c r="AB48" s="2">
        <f t="shared" si="20"/>
        <v>3372</v>
      </c>
      <c r="AC48" s="2">
        <f t="shared" si="20"/>
        <v>3440</v>
      </c>
      <c r="AD48" s="2">
        <f t="shared" si="20"/>
        <v>3508</v>
      </c>
      <c r="AE48" s="2">
        <f t="shared" si="20"/>
        <v>3792</v>
      </c>
      <c r="AF48" s="2">
        <f t="shared" si="20"/>
        <v>3860</v>
      </c>
      <c r="AG48" s="2">
        <f t="shared" si="20"/>
        <v>4000</v>
      </c>
      <c r="AH48" s="2">
        <f t="shared" si="20"/>
        <v>4068</v>
      </c>
      <c r="AI48" s="2">
        <f t="shared" si="20"/>
        <v>4208</v>
      </c>
      <c r="AJ48" s="2">
        <f t="shared" si="20"/>
        <v>4276</v>
      </c>
      <c r="AK48" s="2">
        <f t="shared" si="20"/>
        <v>4344</v>
      </c>
      <c r="AL48" s="2">
        <f t="shared" si="20"/>
        <v>4484</v>
      </c>
      <c r="AM48" s="2">
        <f t="shared" si="20"/>
        <v>4552</v>
      </c>
      <c r="AN48" s="2">
        <f t="shared" si="20"/>
        <v>4692</v>
      </c>
      <c r="AO48" s="2">
        <f t="shared" si="20"/>
        <v>4760</v>
      </c>
      <c r="AP48" s="2">
        <f t="shared" si="20"/>
        <v>4828</v>
      </c>
      <c r="AQ48" s="2">
        <f t="shared" si="20"/>
        <v>5112</v>
      </c>
      <c r="AR48" s="2">
        <f t="shared" si="20"/>
        <v>5180</v>
      </c>
      <c r="AS48" s="2">
        <f t="shared" si="20"/>
        <v>5320</v>
      </c>
      <c r="AT48" s="2">
        <f t="shared" si="20"/>
        <v>5388</v>
      </c>
      <c r="AU48" s="2">
        <f t="shared" si="20"/>
        <v>5528</v>
      </c>
      <c r="AV48" s="2">
        <f t="shared" si="20"/>
        <v>5596</v>
      </c>
      <c r="AW48" s="2">
        <f t="shared" si="20"/>
        <v>5664</v>
      </c>
      <c r="AX48" s="2">
        <f t="shared" si="20"/>
        <v>5804</v>
      </c>
      <c r="AY48" s="2">
        <f t="shared" si="20"/>
        <v>5872</v>
      </c>
      <c r="AZ48" s="2">
        <f t="shared" si="20"/>
        <v>6012</v>
      </c>
      <c r="BA48" s="2">
        <f t="shared" si="20"/>
        <v>6080</v>
      </c>
      <c r="BB48" s="2">
        <f t="shared" si="20"/>
        <v>6148</v>
      </c>
      <c r="BC48" s="2">
        <f t="shared" si="20"/>
        <v>6432</v>
      </c>
      <c r="BD48" s="2">
        <f t="shared" si="20"/>
        <v>6500</v>
      </c>
      <c r="BE48" s="2">
        <f t="shared" si="20"/>
        <v>6640</v>
      </c>
      <c r="BF48" s="2">
        <f t="shared" si="20"/>
        <v>6708</v>
      </c>
      <c r="BG48" s="2">
        <f t="shared" si="20"/>
        <v>6848</v>
      </c>
      <c r="BH48" s="2">
        <f t="shared" si="20"/>
        <v>6916</v>
      </c>
      <c r="BI48" s="2">
        <f t="shared" si="20"/>
        <v>6984</v>
      </c>
      <c r="BJ48" s="2">
        <f t="shared" si="20"/>
        <v>7124</v>
      </c>
      <c r="BK48" s="2">
        <f t="shared" si="20"/>
        <v>7192</v>
      </c>
      <c r="BL48" s="2">
        <f t="shared" si="20"/>
        <v>7332</v>
      </c>
      <c r="BM48" s="2">
        <f t="shared" si="20"/>
        <v>7400</v>
      </c>
      <c r="BN48" s="2">
        <f t="shared" si="20"/>
        <v>7468</v>
      </c>
      <c r="BO48" s="2">
        <f t="shared" si="20"/>
        <v>7680</v>
      </c>
      <c r="BP48" s="2">
        <f t="shared" si="20"/>
        <v>7748</v>
      </c>
      <c r="BQ48" s="2">
        <f t="shared" si="20"/>
        <v>7888</v>
      </c>
      <c r="BR48" s="2">
        <f t="shared" ref="BR48:BY48" si="21" xml:space="preserve"> BR$45</f>
        <v>7956</v>
      </c>
      <c r="BS48" s="2">
        <f t="shared" si="21"/>
        <v>7956</v>
      </c>
      <c r="BT48" s="2">
        <f t="shared" si="21"/>
        <v>7956</v>
      </c>
      <c r="BU48" s="2">
        <f t="shared" si="21"/>
        <v>7956</v>
      </c>
      <c r="BV48" s="2">
        <f t="shared" si="21"/>
        <v>7956</v>
      </c>
      <c r="BW48" s="2">
        <f t="shared" si="21"/>
        <v>7956</v>
      </c>
      <c r="BX48" s="2">
        <f t="shared" si="21"/>
        <v>7956</v>
      </c>
      <c r="BY48" s="2">
        <f t="shared" si="21"/>
        <v>7956</v>
      </c>
    </row>
    <row r="49" spans="1:77" s="138" customFormat="1" x14ac:dyDescent="0.2">
      <c r="A49" s="135"/>
      <c r="B49" s="120"/>
      <c r="C49" s="136"/>
      <c r="D49" s="137"/>
      <c r="E49" s="138" t="str">
        <f xml:space="preserve"> Time!E$43</f>
        <v>Forecast period flag</v>
      </c>
      <c r="F49" s="138">
        <f xml:space="preserve"> Time!F$43</f>
        <v>0</v>
      </c>
      <c r="G49" s="138" t="str">
        <f xml:space="preserve"> Time!G$43</f>
        <v>flag</v>
      </c>
      <c r="H49" s="138">
        <f xml:space="preserve"> Time!H$43</f>
        <v>60</v>
      </c>
      <c r="I49" s="138">
        <f xml:space="preserve"> Time!I$43</f>
        <v>0</v>
      </c>
      <c r="J49" s="138">
        <f xml:space="preserve"> Time!J$43</f>
        <v>0</v>
      </c>
      <c r="K49" s="138">
        <f xml:space="preserve"> Time!K$43</f>
        <v>1</v>
      </c>
      <c r="L49" s="138">
        <f xml:space="preserve"> Time!L$43</f>
        <v>1</v>
      </c>
      <c r="M49" s="138">
        <f xml:space="preserve"> Time!M$43</f>
        <v>1</v>
      </c>
      <c r="N49" s="138">
        <f xml:space="preserve"> Time!N$43</f>
        <v>1</v>
      </c>
      <c r="O49" s="138">
        <f xml:space="preserve"> Time!O$43</f>
        <v>1</v>
      </c>
      <c r="P49" s="138">
        <f xml:space="preserve"> Time!P$43</f>
        <v>1</v>
      </c>
      <c r="Q49" s="138">
        <f xml:space="preserve"> Time!Q$43</f>
        <v>1</v>
      </c>
      <c r="R49" s="138">
        <f xml:space="preserve"> Time!R$43</f>
        <v>1</v>
      </c>
      <c r="S49" s="138">
        <f xml:space="preserve"> Time!S$43</f>
        <v>1</v>
      </c>
      <c r="T49" s="138">
        <f xml:space="preserve"> Time!T$43</f>
        <v>1</v>
      </c>
      <c r="U49" s="138">
        <f xml:space="preserve"> Time!U$43</f>
        <v>1</v>
      </c>
      <c r="V49" s="138">
        <f xml:space="preserve"> Time!V$43</f>
        <v>1</v>
      </c>
      <c r="W49" s="138">
        <f xml:space="preserve"> Time!W$43</f>
        <v>1</v>
      </c>
      <c r="X49" s="138">
        <f xml:space="preserve"> Time!X$43</f>
        <v>1</v>
      </c>
      <c r="Y49" s="138">
        <f xml:space="preserve"> Time!Y$43</f>
        <v>1</v>
      </c>
      <c r="Z49" s="138">
        <f xml:space="preserve"> Time!Z$43</f>
        <v>1</v>
      </c>
      <c r="AA49" s="138">
        <f xml:space="preserve"> Time!AA$43</f>
        <v>1</v>
      </c>
      <c r="AB49" s="138">
        <f xml:space="preserve"> Time!AB$43</f>
        <v>1</v>
      </c>
      <c r="AC49" s="138">
        <f xml:space="preserve"> Time!AC$43</f>
        <v>1</v>
      </c>
      <c r="AD49" s="138">
        <f xml:space="preserve"> Time!AD$43</f>
        <v>1</v>
      </c>
      <c r="AE49" s="138">
        <f xml:space="preserve"> Time!AE$43</f>
        <v>1</v>
      </c>
      <c r="AF49" s="138">
        <f xml:space="preserve"> Time!AF$43</f>
        <v>1</v>
      </c>
      <c r="AG49" s="138">
        <f xml:space="preserve"> Time!AG$43</f>
        <v>1</v>
      </c>
      <c r="AH49" s="138">
        <f xml:space="preserve"> Time!AH$43</f>
        <v>1</v>
      </c>
      <c r="AI49" s="138">
        <f xml:space="preserve"> Time!AI$43</f>
        <v>1</v>
      </c>
      <c r="AJ49" s="138">
        <f xml:space="preserve"> Time!AJ$43</f>
        <v>1</v>
      </c>
      <c r="AK49" s="138">
        <f xml:space="preserve"> Time!AK$43</f>
        <v>1</v>
      </c>
      <c r="AL49" s="138">
        <f xml:space="preserve"> Time!AL$43</f>
        <v>1</v>
      </c>
      <c r="AM49" s="138">
        <f xml:space="preserve"> Time!AM$43</f>
        <v>1</v>
      </c>
      <c r="AN49" s="138">
        <f xml:space="preserve"> Time!AN$43</f>
        <v>1</v>
      </c>
      <c r="AO49" s="138">
        <f xml:space="preserve"> Time!AO$43</f>
        <v>1</v>
      </c>
      <c r="AP49" s="138">
        <f xml:space="preserve"> Time!AP$43</f>
        <v>1</v>
      </c>
      <c r="AQ49" s="138">
        <f xml:space="preserve"> Time!AQ$43</f>
        <v>1</v>
      </c>
      <c r="AR49" s="138">
        <f xml:space="preserve"> Time!AR$43</f>
        <v>1</v>
      </c>
      <c r="AS49" s="138">
        <f xml:space="preserve"> Time!AS$43</f>
        <v>1</v>
      </c>
      <c r="AT49" s="138">
        <f xml:space="preserve"> Time!AT$43</f>
        <v>1</v>
      </c>
      <c r="AU49" s="138">
        <f xml:space="preserve"> Time!AU$43</f>
        <v>1</v>
      </c>
      <c r="AV49" s="138">
        <f xml:space="preserve"> Time!AV$43</f>
        <v>1</v>
      </c>
      <c r="AW49" s="138">
        <f xml:space="preserve"> Time!AW$43</f>
        <v>1</v>
      </c>
      <c r="AX49" s="138">
        <f xml:space="preserve"> Time!AX$43</f>
        <v>1</v>
      </c>
      <c r="AY49" s="138">
        <f xml:space="preserve"> Time!AY$43</f>
        <v>1</v>
      </c>
      <c r="AZ49" s="138">
        <f xml:space="preserve"> Time!AZ$43</f>
        <v>1</v>
      </c>
      <c r="BA49" s="138">
        <f xml:space="preserve"> Time!BA$43</f>
        <v>1</v>
      </c>
      <c r="BB49" s="138">
        <f xml:space="preserve"> Time!BB$43</f>
        <v>1</v>
      </c>
      <c r="BC49" s="138">
        <f xml:space="preserve"> Time!BC$43</f>
        <v>1</v>
      </c>
      <c r="BD49" s="138">
        <f xml:space="preserve"> Time!BD$43</f>
        <v>1</v>
      </c>
      <c r="BE49" s="138">
        <f xml:space="preserve"> Time!BE$43</f>
        <v>1</v>
      </c>
      <c r="BF49" s="138">
        <f xml:space="preserve"> Time!BF$43</f>
        <v>1</v>
      </c>
      <c r="BG49" s="138">
        <f xml:space="preserve"> Time!BG$43</f>
        <v>1</v>
      </c>
      <c r="BH49" s="138">
        <f xml:space="preserve"> Time!BH$43</f>
        <v>1</v>
      </c>
      <c r="BI49" s="138">
        <f xml:space="preserve"> Time!BI$43</f>
        <v>1</v>
      </c>
      <c r="BJ49" s="138">
        <f xml:space="preserve"> Time!BJ$43</f>
        <v>1</v>
      </c>
      <c r="BK49" s="138">
        <f xml:space="preserve"> Time!BK$43</f>
        <v>1</v>
      </c>
      <c r="BL49" s="138">
        <f xml:space="preserve"> Time!BL$43</f>
        <v>1</v>
      </c>
      <c r="BM49" s="138">
        <f xml:space="preserve"> Time!BM$43</f>
        <v>1</v>
      </c>
      <c r="BN49" s="138">
        <f xml:space="preserve"> Time!BN$43</f>
        <v>1</v>
      </c>
      <c r="BO49" s="138">
        <f xml:space="preserve"> Time!BO$43</f>
        <v>1</v>
      </c>
      <c r="BP49" s="138">
        <f xml:space="preserve"> Time!BP$43</f>
        <v>1</v>
      </c>
      <c r="BQ49" s="138">
        <f xml:space="preserve"> Time!BQ$43</f>
        <v>1</v>
      </c>
      <c r="BR49" s="138">
        <f xml:space="preserve"> Time!BR$43</f>
        <v>1</v>
      </c>
      <c r="BS49" s="138">
        <f xml:space="preserve"> Time!BS$43</f>
        <v>0</v>
      </c>
      <c r="BT49" s="138">
        <f xml:space="preserve"> Time!BT$43</f>
        <v>0</v>
      </c>
      <c r="BU49" s="138">
        <f xml:space="preserve"> Time!BU$43</f>
        <v>0</v>
      </c>
      <c r="BV49" s="138">
        <f xml:space="preserve"> Time!BV$43</f>
        <v>0</v>
      </c>
      <c r="BW49" s="138">
        <f xml:space="preserve"> Time!BW$43</f>
        <v>0</v>
      </c>
      <c r="BX49" s="138">
        <f xml:space="preserve"> Time!BX$43</f>
        <v>0</v>
      </c>
      <c r="BY49" s="138">
        <f xml:space="preserve"> Time!BY$43</f>
        <v>0</v>
      </c>
    </row>
    <row r="50" spans="1:77" x14ac:dyDescent="0.2">
      <c r="E50" s="2" t="s">
        <v>45</v>
      </c>
      <c r="G50" s="2" t="s">
        <v>26</v>
      </c>
      <c r="H50" s="2">
        <f>SUM(J50:BY50)</f>
        <v>1172632.8000000003</v>
      </c>
      <c r="J50" s="2">
        <f xml:space="preserve"> $F47 * J48 * J49</f>
        <v>0</v>
      </c>
      <c r="K50" s="2">
        <f t="shared" ref="K50:BV50" si="22" xml:space="preserve"> $F47 * K48 * K49</f>
        <v>6723.9999999999991</v>
      </c>
      <c r="L50" s="2">
        <f t="shared" si="22"/>
        <v>7002.7999999999993</v>
      </c>
      <c r="M50" s="2">
        <f t="shared" si="22"/>
        <v>7281.5999999999995</v>
      </c>
      <c r="N50" s="2">
        <f t="shared" si="22"/>
        <v>7855.5999999999995</v>
      </c>
      <c r="O50" s="2">
        <f t="shared" si="22"/>
        <v>8134.4</v>
      </c>
      <c r="P50" s="2">
        <f t="shared" si="22"/>
        <v>8708.4</v>
      </c>
      <c r="Q50" s="2">
        <f t="shared" si="22"/>
        <v>8987.1999999999989</v>
      </c>
      <c r="R50" s="2">
        <f t="shared" si="22"/>
        <v>9266</v>
      </c>
      <c r="S50" s="2">
        <f t="shared" si="22"/>
        <v>10135.199999999999</v>
      </c>
      <c r="T50" s="2">
        <f t="shared" si="22"/>
        <v>10414</v>
      </c>
      <c r="U50" s="2">
        <f t="shared" si="22"/>
        <v>10987.999999999998</v>
      </c>
      <c r="V50" s="2">
        <f t="shared" si="22"/>
        <v>11266.8</v>
      </c>
      <c r="W50" s="2">
        <f t="shared" si="22"/>
        <v>11840.8</v>
      </c>
      <c r="X50" s="2">
        <f t="shared" si="22"/>
        <v>12119.599999999999</v>
      </c>
      <c r="Y50" s="2">
        <f t="shared" si="22"/>
        <v>12398.4</v>
      </c>
      <c r="Z50" s="2">
        <f t="shared" si="22"/>
        <v>12972.4</v>
      </c>
      <c r="AA50" s="2">
        <f t="shared" si="22"/>
        <v>13251.199999999999</v>
      </c>
      <c r="AB50" s="2">
        <f t="shared" si="22"/>
        <v>13825.199999999999</v>
      </c>
      <c r="AC50" s="2">
        <f t="shared" si="22"/>
        <v>14103.999999999998</v>
      </c>
      <c r="AD50" s="2">
        <f t="shared" si="22"/>
        <v>14382.8</v>
      </c>
      <c r="AE50" s="2">
        <f t="shared" si="22"/>
        <v>15547.199999999999</v>
      </c>
      <c r="AF50" s="2">
        <f t="shared" si="22"/>
        <v>15825.999999999998</v>
      </c>
      <c r="AG50" s="2">
        <f t="shared" si="22"/>
        <v>16400</v>
      </c>
      <c r="AH50" s="2">
        <f t="shared" si="22"/>
        <v>16678.8</v>
      </c>
      <c r="AI50" s="2">
        <f t="shared" si="22"/>
        <v>17252.8</v>
      </c>
      <c r="AJ50" s="2">
        <f t="shared" si="22"/>
        <v>17531.599999999999</v>
      </c>
      <c r="AK50" s="2">
        <f t="shared" si="22"/>
        <v>17810.399999999998</v>
      </c>
      <c r="AL50" s="2">
        <f t="shared" si="22"/>
        <v>18384.399999999998</v>
      </c>
      <c r="AM50" s="2">
        <f t="shared" si="22"/>
        <v>18663.199999999997</v>
      </c>
      <c r="AN50" s="2">
        <f t="shared" si="22"/>
        <v>19237.199999999997</v>
      </c>
      <c r="AO50" s="2">
        <f t="shared" si="22"/>
        <v>19516</v>
      </c>
      <c r="AP50" s="2">
        <f t="shared" si="22"/>
        <v>19794.8</v>
      </c>
      <c r="AQ50" s="2">
        <f t="shared" si="22"/>
        <v>20959.199999999997</v>
      </c>
      <c r="AR50" s="2">
        <f t="shared" si="22"/>
        <v>21237.999999999996</v>
      </c>
      <c r="AS50" s="2">
        <f t="shared" si="22"/>
        <v>21811.999999999996</v>
      </c>
      <c r="AT50" s="2">
        <f t="shared" si="22"/>
        <v>22090.799999999999</v>
      </c>
      <c r="AU50" s="2">
        <f t="shared" si="22"/>
        <v>22664.799999999999</v>
      </c>
      <c r="AV50" s="2">
        <f t="shared" si="22"/>
        <v>22943.599999999999</v>
      </c>
      <c r="AW50" s="2">
        <f t="shared" si="22"/>
        <v>23222.399999999998</v>
      </c>
      <c r="AX50" s="2">
        <f t="shared" si="22"/>
        <v>23796.399999999998</v>
      </c>
      <c r="AY50" s="2">
        <f t="shared" si="22"/>
        <v>24075.199999999997</v>
      </c>
      <c r="AZ50" s="2">
        <f t="shared" si="22"/>
        <v>24649.199999999997</v>
      </c>
      <c r="BA50" s="2">
        <f t="shared" si="22"/>
        <v>24927.999999999996</v>
      </c>
      <c r="BB50" s="2">
        <f t="shared" si="22"/>
        <v>25206.799999999999</v>
      </c>
      <c r="BC50" s="2">
        <f t="shared" si="22"/>
        <v>26371.199999999997</v>
      </c>
      <c r="BD50" s="2">
        <f t="shared" si="22"/>
        <v>26649.999999999996</v>
      </c>
      <c r="BE50" s="2">
        <f t="shared" si="22"/>
        <v>27223.999999999996</v>
      </c>
      <c r="BF50" s="2">
        <f t="shared" si="22"/>
        <v>27502.799999999999</v>
      </c>
      <c r="BG50" s="2">
        <f t="shared" si="22"/>
        <v>28076.799999999999</v>
      </c>
      <c r="BH50" s="2">
        <f t="shared" si="22"/>
        <v>28355.599999999999</v>
      </c>
      <c r="BI50" s="2">
        <f t="shared" si="22"/>
        <v>28634.399999999998</v>
      </c>
      <c r="BJ50" s="2">
        <f t="shared" si="22"/>
        <v>29208.399999999998</v>
      </c>
      <c r="BK50" s="2">
        <f t="shared" si="22"/>
        <v>29487.199999999997</v>
      </c>
      <c r="BL50" s="2">
        <f t="shared" si="22"/>
        <v>30061.199999999997</v>
      </c>
      <c r="BM50" s="2">
        <f t="shared" si="22"/>
        <v>30339.999999999996</v>
      </c>
      <c r="BN50" s="2">
        <f t="shared" si="22"/>
        <v>30618.799999999996</v>
      </c>
      <c r="BO50" s="2">
        <f t="shared" si="22"/>
        <v>31487.999999999996</v>
      </c>
      <c r="BP50" s="2">
        <f t="shared" si="22"/>
        <v>31766.799999999996</v>
      </c>
      <c r="BQ50" s="2">
        <f t="shared" si="22"/>
        <v>32340.799999999996</v>
      </c>
      <c r="BR50" s="2">
        <f t="shared" si="22"/>
        <v>32619.599999999999</v>
      </c>
      <c r="BS50" s="2">
        <f t="shared" si="22"/>
        <v>0</v>
      </c>
      <c r="BT50" s="2">
        <f t="shared" si="22"/>
        <v>0</v>
      </c>
      <c r="BU50" s="2">
        <f t="shared" si="22"/>
        <v>0</v>
      </c>
      <c r="BV50" s="2">
        <f t="shared" si="22"/>
        <v>0</v>
      </c>
      <c r="BW50" s="2">
        <f xml:space="preserve"> $F47 * BW48 * BW49</f>
        <v>0</v>
      </c>
      <c r="BX50" s="2">
        <f xml:space="preserve"> $F47 * BX48 * BX49</f>
        <v>0</v>
      </c>
      <c r="BY50" s="2">
        <f xml:space="preserve"> $F47 * BY48 * BY49</f>
        <v>0</v>
      </c>
    </row>
    <row r="52" spans="1:77" x14ac:dyDescent="0.2">
      <c r="B52" s="5" t="s">
        <v>81</v>
      </c>
    </row>
    <row r="53" spans="1:77" x14ac:dyDescent="0.2">
      <c r="E53" s="2" t="str">
        <f xml:space="preserve"> E$16</f>
        <v>Forecast gate fee revenue</v>
      </c>
      <c r="F53" s="2">
        <f t="shared" ref="F53:BQ53" si="23" xml:space="preserve"> F$16</f>
        <v>0</v>
      </c>
      <c r="G53" s="2" t="str">
        <f t="shared" si="23"/>
        <v>EUR</v>
      </c>
      <c r="H53" s="2">
        <f t="shared" si="23"/>
        <v>2387400</v>
      </c>
      <c r="I53" s="2">
        <f t="shared" si="23"/>
        <v>0</v>
      </c>
      <c r="J53" s="2">
        <f t="shared" si="23"/>
        <v>0</v>
      </c>
      <c r="K53" s="2">
        <f t="shared" si="23"/>
        <v>39790</v>
      </c>
      <c r="L53" s="2">
        <f t="shared" si="23"/>
        <v>39790</v>
      </c>
      <c r="M53" s="2">
        <f t="shared" si="23"/>
        <v>39790</v>
      </c>
      <c r="N53" s="2">
        <f t="shared" si="23"/>
        <v>39790</v>
      </c>
      <c r="O53" s="2">
        <f t="shared" si="23"/>
        <v>39790</v>
      </c>
      <c r="P53" s="2">
        <f t="shared" si="23"/>
        <v>39790</v>
      </c>
      <c r="Q53" s="2">
        <f t="shared" si="23"/>
        <v>39790</v>
      </c>
      <c r="R53" s="2">
        <f t="shared" si="23"/>
        <v>39790</v>
      </c>
      <c r="S53" s="2">
        <f t="shared" si="23"/>
        <v>39790</v>
      </c>
      <c r="T53" s="2">
        <f t="shared" si="23"/>
        <v>39790</v>
      </c>
      <c r="U53" s="2">
        <f t="shared" si="23"/>
        <v>39790</v>
      </c>
      <c r="V53" s="2">
        <f t="shared" si="23"/>
        <v>39790</v>
      </c>
      <c r="W53" s="2">
        <f t="shared" si="23"/>
        <v>39790</v>
      </c>
      <c r="X53" s="2">
        <f t="shared" si="23"/>
        <v>39790</v>
      </c>
      <c r="Y53" s="2">
        <f t="shared" si="23"/>
        <v>39790</v>
      </c>
      <c r="Z53" s="2">
        <f t="shared" si="23"/>
        <v>39790</v>
      </c>
      <c r="AA53" s="2">
        <f t="shared" si="23"/>
        <v>39790</v>
      </c>
      <c r="AB53" s="2">
        <f t="shared" si="23"/>
        <v>39790</v>
      </c>
      <c r="AC53" s="2">
        <f t="shared" si="23"/>
        <v>39790</v>
      </c>
      <c r="AD53" s="2">
        <f t="shared" si="23"/>
        <v>39790</v>
      </c>
      <c r="AE53" s="2">
        <f t="shared" si="23"/>
        <v>39790</v>
      </c>
      <c r="AF53" s="2">
        <f t="shared" si="23"/>
        <v>39790</v>
      </c>
      <c r="AG53" s="2">
        <f t="shared" si="23"/>
        <v>39790</v>
      </c>
      <c r="AH53" s="2">
        <f t="shared" si="23"/>
        <v>39790</v>
      </c>
      <c r="AI53" s="2">
        <f t="shared" si="23"/>
        <v>39790</v>
      </c>
      <c r="AJ53" s="2">
        <f t="shared" si="23"/>
        <v>39790</v>
      </c>
      <c r="AK53" s="2">
        <f t="shared" si="23"/>
        <v>39790</v>
      </c>
      <c r="AL53" s="2">
        <f t="shared" si="23"/>
        <v>39790</v>
      </c>
      <c r="AM53" s="2">
        <f t="shared" si="23"/>
        <v>39790</v>
      </c>
      <c r="AN53" s="2">
        <f t="shared" si="23"/>
        <v>39790</v>
      </c>
      <c r="AO53" s="2">
        <f t="shared" si="23"/>
        <v>39790</v>
      </c>
      <c r="AP53" s="2">
        <f t="shared" si="23"/>
        <v>39790</v>
      </c>
      <c r="AQ53" s="2">
        <f t="shared" si="23"/>
        <v>39790</v>
      </c>
      <c r="AR53" s="2">
        <f t="shared" si="23"/>
        <v>39790</v>
      </c>
      <c r="AS53" s="2">
        <f t="shared" si="23"/>
        <v>39790</v>
      </c>
      <c r="AT53" s="2">
        <f t="shared" si="23"/>
        <v>39790</v>
      </c>
      <c r="AU53" s="2">
        <f t="shared" si="23"/>
        <v>39790</v>
      </c>
      <c r="AV53" s="2">
        <f t="shared" si="23"/>
        <v>39790</v>
      </c>
      <c r="AW53" s="2">
        <f t="shared" si="23"/>
        <v>39790</v>
      </c>
      <c r="AX53" s="2">
        <f t="shared" si="23"/>
        <v>39790</v>
      </c>
      <c r="AY53" s="2">
        <f t="shared" si="23"/>
        <v>39790</v>
      </c>
      <c r="AZ53" s="2">
        <f t="shared" si="23"/>
        <v>39790</v>
      </c>
      <c r="BA53" s="2">
        <f t="shared" si="23"/>
        <v>39790</v>
      </c>
      <c r="BB53" s="2">
        <f t="shared" si="23"/>
        <v>39790</v>
      </c>
      <c r="BC53" s="2">
        <f t="shared" si="23"/>
        <v>39790</v>
      </c>
      <c r="BD53" s="2">
        <f t="shared" si="23"/>
        <v>39790</v>
      </c>
      <c r="BE53" s="2">
        <f t="shared" si="23"/>
        <v>39790</v>
      </c>
      <c r="BF53" s="2">
        <f t="shared" si="23"/>
        <v>39790</v>
      </c>
      <c r="BG53" s="2">
        <f t="shared" si="23"/>
        <v>39790</v>
      </c>
      <c r="BH53" s="2">
        <f t="shared" si="23"/>
        <v>39790</v>
      </c>
      <c r="BI53" s="2">
        <f t="shared" si="23"/>
        <v>39790</v>
      </c>
      <c r="BJ53" s="2">
        <f t="shared" si="23"/>
        <v>39790</v>
      </c>
      <c r="BK53" s="2">
        <f t="shared" si="23"/>
        <v>39790</v>
      </c>
      <c r="BL53" s="2">
        <f t="shared" si="23"/>
        <v>39790</v>
      </c>
      <c r="BM53" s="2">
        <f t="shared" si="23"/>
        <v>39790</v>
      </c>
      <c r="BN53" s="2">
        <f t="shared" si="23"/>
        <v>39790</v>
      </c>
      <c r="BO53" s="2">
        <f t="shared" si="23"/>
        <v>39790</v>
      </c>
      <c r="BP53" s="2">
        <f t="shared" si="23"/>
        <v>39790</v>
      </c>
      <c r="BQ53" s="2">
        <f t="shared" si="23"/>
        <v>39790</v>
      </c>
      <c r="BR53" s="2">
        <f t="shared" ref="BR53:BY53" si="24" xml:space="preserve"> BR$16</f>
        <v>39790</v>
      </c>
      <c r="BS53" s="2">
        <f t="shared" si="24"/>
        <v>0</v>
      </c>
      <c r="BT53" s="2">
        <f t="shared" si="24"/>
        <v>0</v>
      </c>
      <c r="BU53" s="2">
        <f t="shared" si="24"/>
        <v>0</v>
      </c>
      <c r="BV53" s="2">
        <f t="shared" si="24"/>
        <v>0</v>
      </c>
      <c r="BW53" s="2">
        <f t="shared" si="24"/>
        <v>0</v>
      </c>
      <c r="BX53" s="2">
        <f t="shared" si="24"/>
        <v>0</v>
      </c>
      <c r="BY53" s="2">
        <f t="shared" si="24"/>
        <v>0</v>
      </c>
    </row>
    <row r="54" spans="1:77" x14ac:dyDescent="0.2">
      <c r="D54" s="38" t="s">
        <v>77</v>
      </c>
      <c r="E54" s="2" t="str">
        <f xml:space="preserve"> E$35</f>
        <v>Forecast offtake revenue</v>
      </c>
      <c r="F54" s="2">
        <f t="shared" ref="F54:BQ54" si="25" xml:space="preserve"> F$35</f>
        <v>0</v>
      </c>
      <c r="G54" s="2" t="str">
        <f t="shared" si="25"/>
        <v>EUR</v>
      </c>
      <c r="H54" s="2">
        <f t="shared" si="25"/>
        <v>7589484</v>
      </c>
      <c r="I54" s="2">
        <f t="shared" si="25"/>
        <v>0</v>
      </c>
      <c r="J54" s="2">
        <f t="shared" si="25"/>
        <v>0</v>
      </c>
      <c r="K54" s="2">
        <f t="shared" si="25"/>
        <v>113400</v>
      </c>
      <c r="L54" s="2">
        <f t="shared" si="25"/>
        <v>117180</v>
      </c>
      <c r="M54" s="2">
        <f t="shared" si="25"/>
        <v>117180</v>
      </c>
      <c r="N54" s="2">
        <f t="shared" si="25"/>
        <v>113400</v>
      </c>
      <c r="O54" s="2">
        <f t="shared" si="25"/>
        <v>117180</v>
      </c>
      <c r="P54" s="2">
        <f t="shared" si="25"/>
        <v>113400</v>
      </c>
      <c r="Q54" s="2">
        <f t="shared" si="25"/>
        <v>117180</v>
      </c>
      <c r="R54" s="2">
        <f t="shared" si="25"/>
        <v>210924</v>
      </c>
      <c r="S54" s="2">
        <f t="shared" si="25"/>
        <v>153468</v>
      </c>
      <c r="T54" s="2">
        <f t="shared" si="25"/>
        <v>117180</v>
      </c>
      <c r="U54" s="2">
        <f t="shared" si="25"/>
        <v>113400</v>
      </c>
      <c r="V54" s="2">
        <f t="shared" si="25"/>
        <v>117180</v>
      </c>
      <c r="W54" s="2">
        <f t="shared" si="25"/>
        <v>113400</v>
      </c>
      <c r="X54" s="2">
        <f t="shared" si="25"/>
        <v>117180</v>
      </c>
      <c r="Y54" s="2">
        <f t="shared" si="25"/>
        <v>117180</v>
      </c>
      <c r="Z54" s="2">
        <f t="shared" si="25"/>
        <v>113400</v>
      </c>
      <c r="AA54" s="2">
        <f t="shared" si="25"/>
        <v>117180</v>
      </c>
      <c r="AB54" s="2">
        <f t="shared" si="25"/>
        <v>113400</v>
      </c>
      <c r="AC54" s="2">
        <f t="shared" si="25"/>
        <v>117180</v>
      </c>
      <c r="AD54" s="2">
        <f t="shared" si="25"/>
        <v>210924</v>
      </c>
      <c r="AE54" s="2">
        <f t="shared" si="25"/>
        <v>148176</v>
      </c>
      <c r="AF54" s="2">
        <f t="shared" si="25"/>
        <v>117180</v>
      </c>
      <c r="AG54" s="2">
        <f t="shared" si="25"/>
        <v>113400</v>
      </c>
      <c r="AH54" s="2">
        <f t="shared" si="25"/>
        <v>117180</v>
      </c>
      <c r="AI54" s="2">
        <f t="shared" si="25"/>
        <v>113400</v>
      </c>
      <c r="AJ54" s="2">
        <f t="shared" si="25"/>
        <v>117180</v>
      </c>
      <c r="AK54" s="2">
        <f t="shared" si="25"/>
        <v>117180</v>
      </c>
      <c r="AL54" s="2">
        <f t="shared" si="25"/>
        <v>113400</v>
      </c>
      <c r="AM54" s="2">
        <f t="shared" si="25"/>
        <v>117180</v>
      </c>
      <c r="AN54" s="2">
        <f t="shared" si="25"/>
        <v>113400</v>
      </c>
      <c r="AO54" s="2">
        <f t="shared" si="25"/>
        <v>117180</v>
      </c>
      <c r="AP54" s="2">
        <f t="shared" si="25"/>
        <v>210924</v>
      </c>
      <c r="AQ54" s="2">
        <f t="shared" si="25"/>
        <v>148176</v>
      </c>
      <c r="AR54" s="2">
        <f t="shared" si="25"/>
        <v>117180</v>
      </c>
      <c r="AS54" s="2">
        <f t="shared" si="25"/>
        <v>113400</v>
      </c>
      <c r="AT54" s="2">
        <f t="shared" si="25"/>
        <v>117180</v>
      </c>
      <c r="AU54" s="2">
        <f t="shared" si="25"/>
        <v>113400</v>
      </c>
      <c r="AV54" s="2">
        <f t="shared" si="25"/>
        <v>117180</v>
      </c>
      <c r="AW54" s="2">
        <f t="shared" si="25"/>
        <v>117180</v>
      </c>
      <c r="AX54" s="2">
        <f t="shared" si="25"/>
        <v>113400</v>
      </c>
      <c r="AY54" s="2">
        <f t="shared" si="25"/>
        <v>117180</v>
      </c>
      <c r="AZ54" s="2">
        <f t="shared" si="25"/>
        <v>113400</v>
      </c>
      <c r="BA54" s="2">
        <f t="shared" si="25"/>
        <v>117180</v>
      </c>
      <c r="BB54" s="2">
        <f t="shared" si="25"/>
        <v>210924</v>
      </c>
      <c r="BC54" s="2">
        <f t="shared" si="25"/>
        <v>148176</v>
      </c>
      <c r="BD54" s="2">
        <f t="shared" si="25"/>
        <v>117180</v>
      </c>
      <c r="BE54" s="2">
        <f t="shared" si="25"/>
        <v>113400</v>
      </c>
      <c r="BF54" s="2">
        <f t="shared" si="25"/>
        <v>117180</v>
      </c>
      <c r="BG54" s="2">
        <f t="shared" si="25"/>
        <v>113400</v>
      </c>
      <c r="BH54" s="2">
        <f t="shared" si="25"/>
        <v>117180</v>
      </c>
      <c r="BI54" s="2">
        <f t="shared" si="25"/>
        <v>117180</v>
      </c>
      <c r="BJ54" s="2">
        <f t="shared" si="25"/>
        <v>113400</v>
      </c>
      <c r="BK54" s="2">
        <f t="shared" si="25"/>
        <v>117180</v>
      </c>
      <c r="BL54" s="2">
        <f t="shared" si="25"/>
        <v>113400</v>
      </c>
      <c r="BM54" s="2">
        <f t="shared" si="25"/>
        <v>117180</v>
      </c>
      <c r="BN54" s="2">
        <f t="shared" si="25"/>
        <v>210924</v>
      </c>
      <c r="BO54" s="2">
        <f t="shared" si="25"/>
        <v>153468</v>
      </c>
      <c r="BP54" s="2">
        <f t="shared" si="25"/>
        <v>117180</v>
      </c>
      <c r="BQ54" s="2">
        <f t="shared" si="25"/>
        <v>113400</v>
      </c>
      <c r="BR54" s="2">
        <f t="shared" ref="BR54:BY54" si="26" xml:space="preserve"> BR$35</f>
        <v>117180</v>
      </c>
      <c r="BS54" s="2">
        <f t="shared" si="26"/>
        <v>0</v>
      </c>
      <c r="BT54" s="2">
        <f t="shared" si="26"/>
        <v>0</v>
      </c>
      <c r="BU54" s="2">
        <f t="shared" si="26"/>
        <v>0</v>
      </c>
      <c r="BV54" s="2">
        <f t="shared" si="26"/>
        <v>0</v>
      </c>
      <c r="BW54" s="2">
        <f t="shared" si="26"/>
        <v>0</v>
      </c>
      <c r="BX54" s="2">
        <f t="shared" si="26"/>
        <v>0</v>
      </c>
      <c r="BY54" s="2">
        <f t="shared" si="26"/>
        <v>0</v>
      </c>
    </row>
    <row r="55" spans="1:77" x14ac:dyDescent="0.2">
      <c r="D55" s="38" t="s">
        <v>78</v>
      </c>
      <c r="E55" s="2" t="str">
        <f xml:space="preserve"> E$50</f>
        <v>Forecast waste treatment cost</v>
      </c>
      <c r="F55" s="2">
        <f t="shared" ref="F55:BQ55" si="27" xml:space="preserve"> F$50</f>
        <v>0</v>
      </c>
      <c r="G55" s="2" t="str">
        <f t="shared" si="27"/>
        <v>EUR</v>
      </c>
      <c r="H55" s="2">
        <f t="shared" si="27"/>
        <v>1172632.8000000003</v>
      </c>
      <c r="I55" s="2">
        <f t="shared" si="27"/>
        <v>0</v>
      </c>
      <c r="J55" s="2">
        <f t="shared" si="27"/>
        <v>0</v>
      </c>
      <c r="K55" s="2">
        <f t="shared" si="27"/>
        <v>6723.9999999999991</v>
      </c>
      <c r="L55" s="2">
        <f t="shared" si="27"/>
        <v>7002.7999999999993</v>
      </c>
      <c r="M55" s="2">
        <f t="shared" si="27"/>
        <v>7281.5999999999995</v>
      </c>
      <c r="N55" s="2">
        <f t="shared" si="27"/>
        <v>7855.5999999999995</v>
      </c>
      <c r="O55" s="2">
        <f t="shared" si="27"/>
        <v>8134.4</v>
      </c>
      <c r="P55" s="2">
        <f t="shared" si="27"/>
        <v>8708.4</v>
      </c>
      <c r="Q55" s="2">
        <f t="shared" si="27"/>
        <v>8987.1999999999989</v>
      </c>
      <c r="R55" s="2">
        <f t="shared" si="27"/>
        <v>9266</v>
      </c>
      <c r="S55" s="2">
        <f t="shared" si="27"/>
        <v>10135.199999999999</v>
      </c>
      <c r="T55" s="2">
        <f t="shared" si="27"/>
        <v>10414</v>
      </c>
      <c r="U55" s="2">
        <f t="shared" si="27"/>
        <v>10987.999999999998</v>
      </c>
      <c r="V55" s="2">
        <f t="shared" si="27"/>
        <v>11266.8</v>
      </c>
      <c r="W55" s="2">
        <f t="shared" si="27"/>
        <v>11840.8</v>
      </c>
      <c r="X55" s="2">
        <f t="shared" si="27"/>
        <v>12119.599999999999</v>
      </c>
      <c r="Y55" s="2">
        <f t="shared" si="27"/>
        <v>12398.4</v>
      </c>
      <c r="Z55" s="2">
        <f t="shared" si="27"/>
        <v>12972.4</v>
      </c>
      <c r="AA55" s="2">
        <f t="shared" si="27"/>
        <v>13251.199999999999</v>
      </c>
      <c r="AB55" s="2">
        <f t="shared" si="27"/>
        <v>13825.199999999999</v>
      </c>
      <c r="AC55" s="2">
        <f t="shared" si="27"/>
        <v>14103.999999999998</v>
      </c>
      <c r="AD55" s="2">
        <f t="shared" si="27"/>
        <v>14382.8</v>
      </c>
      <c r="AE55" s="2">
        <f t="shared" si="27"/>
        <v>15547.199999999999</v>
      </c>
      <c r="AF55" s="2">
        <f t="shared" si="27"/>
        <v>15825.999999999998</v>
      </c>
      <c r="AG55" s="2">
        <f t="shared" si="27"/>
        <v>16400</v>
      </c>
      <c r="AH55" s="2">
        <f t="shared" si="27"/>
        <v>16678.8</v>
      </c>
      <c r="AI55" s="2">
        <f t="shared" si="27"/>
        <v>17252.8</v>
      </c>
      <c r="AJ55" s="2">
        <f t="shared" si="27"/>
        <v>17531.599999999999</v>
      </c>
      <c r="AK55" s="2">
        <f t="shared" si="27"/>
        <v>17810.399999999998</v>
      </c>
      <c r="AL55" s="2">
        <f t="shared" si="27"/>
        <v>18384.399999999998</v>
      </c>
      <c r="AM55" s="2">
        <f t="shared" si="27"/>
        <v>18663.199999999997</v>
      </c>
      <c r="AN55" s="2">
        <f t="shared" si="27"/>
        <v>19237.199999999997</v>
      </c>
      <c r="AO55" s="2">
        <f t="shared" si="27"/>
        <v>19516</v>
      </c>
      <c r="AP55" s="2">
        <f t="shared" si="27"/>
        <v>19794.8</v>
      </c>
      <c r="AQ55" s="2">
        <f t="shared" si="27"/>
        <v>20959.199999999997</v>
      </c>
      <c r="AR55" s="2">
        <f t="shared" si="27"/>
        <v>21237.999999999996</v>
      </c>
      <c r="AS55" s="2">
        <f t="shared" si="27"/>
        <v>21811.999999999996</v>
      </c>
      <c r="AT55" s="2">
        <f t="shared" si="27"/>
        <v>22090.799999999999</v>
      </c>
      <c r="AU55" s="2">
        <f t="shared" si="27"/>
        <v>22664.799999999999</v>
      </c>
      <c r="AV55" s="2">
        <f t="shared" si="27"/>
        <v>22943.599999999999</v>
      </c>
      <c r="AW55" s="2">
        <f t="shared" si="27"/>
        <v>23222.399999999998</v>
      </c>
      <c r="AX55" s="2">
        <f t="shared" si="27"/>
        <v>23796.399999999998</v>
      </c>
      <c r="AY55" s="2">
        <f t="shared" si="27"/>
        <v>24075.199999999997</v>
      </c>
      <c r="AZ55" s="2">
        <f t="shared" si="27"/>
        <v>24649.199999999997</v>
      </c>
      <c r="BA55" s="2">
        <f t="shared" si="27"/>
        <v>24927.999999999996</v>
      </c>
      <c r="BB55" s="2">
        <f t="shared" si="27"/>
        <v>25206.799999999999</v>
      </c>
      <c r="BC55" s="2">
        <f t="shared" si="27"/>
        <v>26371.199999999997</v>
      </c>
      <c r="BD55" s="2">
        <f t="shared" si="27"/>
        <v>26649.999999999996</v>
      </c>
      <c r="BE55" s="2">
        <f t="shared" si="27"/>
        <v>27223.999999999996</v>
      </c>
      <c r="BF55" s="2">
        <f t="shared" si="27"/>
        <v>27502.799999999999</v>
      </c>
      <c r="BG55" s="2">
        <f t="shared" si="27"/>
        <v>28076.799999999999</v>
      </c>
      <c r="BH55" s="2">
        <f t="shared" si="27"/>
        <v>28355.599999999999</v>
      </c>
      <c r="BI55" s="2">
        <f t="shared" si="27"/>
        <v>28634.399999999998</v>
      </c>
      <c r="BJ55" s="2">
        <f t="shared" si="27"/>
        <v>29208.399999999998</v>
      </c>
      <c r="BK55" s="2">
        <f t="shared" si="27"/>
        <v>29487.199999999997</v>
      </c>
      <c r="BL55" s="2">
        <f t="shared" si="27"/>
        <v>30061.199999999997</v>
      </c>
      <c r="BM55" s="2">
        <f t="shared" si="27"/>
        <v>30339.999999999996</v>
      </c>
      <c r="BN55" s="2">
        <f t="shared" si="27"/>
        <v>30618.799999999996</v>
      </c>
      <c r="BO55" s="2">
        <f t="shared" si="27"/>
        <v>31487.999999999996</v>
      </c>
      <c r="BP55" s="2">
        <f t="shared" si="27"/>
        <v>31766.799999999996</v>
      </c>
      <c r="BQ55" s="2">
        <f t="shared" si="27"/>
        <v>32340.799999999996</v>
      </c>
      <c r="BR55" s="2">
        <f t="shared" ref="BR55:BY55" si="28" xml:space="preserve"> BR$50</f>
        <v>32619.599999999999</v>
      </c>
      <c r="BS55" s="2">
        <f t="shared" si="28"/>
        <v>0</v>
      </c>
      <c r="BT55" s="2">
        <f t="shared" si="28"/>
        <v>0</v>
      </c>
      <c r="BU55" s="2">
        <f t="shared" si="28"/>
        <v>0</v>
      </c>
      <c r="BV55" s="2">
        <f t="shared" si="28"/>
        <v>0</v>
      </c>
      <c r="BW55" s="2">
        <f t="shared" si="28"/>
        <v>0</v>
      </c>
      <c r="BX55" s="2">
        <f t="shared" si="28"/>
        <v>0</v>
      </c>
      <c r="BY55" s="2">
        <f t="shared" si="28"/>
        <v>0</v>
      </c>
    </row>
    <row r="56" spans="1:77" s="35" customFormat="1" x14ac:dyDescent="0.2">
      <c r="A56" s="8"/>
      <c r="B56" s="50"/>
      <c r="C56" s="51"/>
      <c r="D56" s="40"/>
      <c r="E56" s="35" t="s">
        <v>46</v>
      </c>
      <c r="G56" s="35" t="s">
        <v>26</v>
      </c>
      <c r="H56" s="35">
        <f xml:space="preserve"> SUM(J56:BY56)</f>
        <v>8804251.1999999974</v>
      </c>
      <c r="J56" s="35">
        <f xml:space="preserve"> J53 + J54 - J55</f>
        <v>0</v>
      </c>
      <c r="K56" s="35">
        <f t="shared" ref="K56:BV56" si="29" xml:space="preserve"> K53 + K54 - K55</f>
        <v>146466</v>
      </c>
      <c r="L56" s="35">
        <f t="shared" si="29"/>
        <v>149967.20000000001</v>
      </c>
      <c r="M56" s="35">
        <f t="shared" si="29"/>
        <v>149688.4</v>
      </c>
      <c r="N56" s="35">
        <f t="shared" si="29"/>
        <v>145334.39999999999</v>
      </c>
      <c r="O56" s="35">
        <f t="shared" si="29"/>
        <v>148835.6</v>
      </c>
      <c r="P56" s="35">
        <f t="shared" si="29"/>
        <v>144481.60000000001</v>
      </c>
      <c r="Q56" s="35">
        <f t="shared" si="29"/>
        <v>147982.79999999999</v>
      </c>
      <c r="R56" s="35">
        <f t="shared" si="29"/>
        <v>241448</v>
      </c>
      <c r="S56" s="35">
        <f t="shared" si="29"/>
        <v>183122.8</v>
      </c>
      <c r="T56" s="35">
        <f t="shared" si="29"/>
        <v>146556</v>
      </c>
      <c r="U56" s="35">
        <f t="shared" si="29"/>
        <v>142202</v>
      </c>
      <c r="V56" s="35">
        <f t="shared" si="29"/>
        <v>145703.20000000001</v>
      </c>
      <c r="W56" s="35">
        <f t="shared" si="29"/>
        <v>141349.20000000001</v>
      </c>
      <c r="X56" s="35">
        <f t="shared" si="29"/>
        <v>144850.4</v>
      </c>
      <c r="Y56" s="35">
        <f t="shared" si="29"/>
        <v>144571.6</v>
      </c>
      <c r="Z56" s="35">
        <f t="shared" si="29"/>
        <v>140217.60000000001</v>
      </c>
      <c r="AA56" s="35">
        <f t="shared" si="29"/>
        <v>143718.79999999999</v>
      </c>
      <c r="AB56" s="35">
        <f t="shared" si="29"/>
        <v>139364.79999999999</v>
      </c>
      <c r="AC56" s="35">
        <f t="shared" si="29"/>
        <v>142866</v>
      </c>
      <c r="AD56" s="35">
        <f t="shared" si="29"/>
        <v>236331.2</v>
      </c>
      <c r="AE56" s="35">
        <f t="shared" si="29"/>
        <v>172418.8</v>
      </c>
      <c r="AF56" s="35">
        <f t="shared" si="29"/>
        <v>141144</v>
      </c>
      <c r="AG56" s="35">
        <f t="shared" si="29"/>
        <v>136790</v>
      </c>
      <c r="AH56" s="35">
        <f t="shared" si="29"/>
        <v>140291.20000000001</v>
      </c>
      <c r="AI56" s="35">
        <f t="shared" si="29"/>
        <v>135937.20000000001</v>
      </c>
      <c r="AJ56" s="35">
        <f t="shared" si="29"/>
        <v>139438.39999999999</v>
      </c>
      <c r="AK56" s="35">
        <f t="shared" si="29"/>
        <v>139159.6</v>
      </c>
      <c r="AL56" s="35">
        <f t="shared" si="29"/>
        <v>134805.6</v>
      </c>
      <c r="AM56" s="35">
        <f t="shared" si="29"/>
        <v>138306.79999999999</v>
      </c>
      <c r="AN56" s="35">
        <f t="shared" si="29"/>
        <v>133952.79999999999</v>
      </c>
      <c r="AO56" s="35">
        <f t="shared" si="29"/>
        <v>137454</v>
      </c>
      <c r="AP56" s="35">
        <f t="shared" si="29"/>
        <v>230919.2</v>
      </c>
      <c r="AQ56" s="35">
        <f t="shared" si="29"/>
        <v>167006.79999999999</v>
      </c>
      <c r="AR56" s="35">
        <f t="shared" si="29"/>
        <v>135732</v>
      </c>
      <c r="AS56" s="35">
        <f t="shared" si="29"/>
        <v>131378</v>
      </c>
      <c r="AT56" s="35">
        <f t="shared" si="29"/>
        <v>134879.20000000001</v>
      </c>
      <c r="AU56" s="35">
        <f t="shared" si="29"/>
        <v>130525.2</v>
      </c>
      <c r="AV56" s="35">
        <f t="shared" si="29"/>
        <v>134026.4</v>
      </c>
      <c r="AW56" s="35">
        <f t="shared" si="29"/>
        <v>133747.6</v>
      </c>
      <c r="AX56" s="35">
        <f t="shared" si="29"/>
        <v>129393.60000000001</v>
      </c>
      <c r="AY56" s="35">
        <f t="shared" si="29"/>
        <v>132894.79999999999</v>
      </c>
      <c r="AZ56" s="35">
        <f t="shared" si="29"/>
        <v>128540.8</v>
      </c>
      <c r="BA56" s="35">
        <f t="shared" si="29"/>
        <v>132042</v>
      </c>
      <c r="BB56" s="35">
        <f t="shared" si="29"/>
        <v>225507.20000000001</v>
      </c>
      <c r="BC56" s="35">
        <f t="shared" si="29"/>
        <v>161594.79999999999</v>
      </c>
      <c r="BD56" s="35">
        <f t="shared" si="29"/>
        <v>130320</v>
      </c>
      <c r="BE56" s="35">
        <f t="shared" si="29"/>
        <v>125966</v>
      </c>
      <c r="BF56" s="35">
        <f t="shared" si="29"/>
        <v>129467.2</v>
      </c>
      <c r="BG56" s="35">
        <f t="shared" si="29"/>
        <v>125113.2</v>
      </c>
      <c r="BH56" s="35">
        <f t="shared" si="29"/>
        <v>128614.39999999999</v>
      </c>
      <c r="BI56" s="35">
        <f t="shared" si="29"/>
        <v>128335.6</v>
      </c>
      <c r="BJ56" s="35">
        <f t="shared" si="29"/>
        <v>123981.6</v>
      </c>
      <c r="BK56" s="35">
        <f t="shared" si="29"/>
        <v>127482.8</v>
      </c>
      <c r="BL56" s="35">
        <f t="shared" si="29"/>
        <v>123128.8</v>
      </c>
      <c r="BM56" s="35">
        <f t="shared" si="29"/>
        <v>126630</v>
      </c>
      <c r="BN56" s="35">
        <f t="shared" si="29"/>
        <v>220095.2</v>
      </c>
      <c r="BO56" s="35">
        <f t="shared" si="29"/>
        <v>161770</v>
      </c>
      <c r="BP56" s="35">
        <f t="shared" si="29"/>
        <v>125203.20000000001</v>
      </c>
      <c r="BQ56" s="35">
        <f t="shared" si="29"/>
        <v>120849.20000000001</v>
      </c>
      <c r="BR56" s="35">
        <f t="shared" si="29"/>
        <v>124350.39999999999</v>
      </c>
      <c r="BS56" s="35">
        <f t="shared" si="29"/>
        <v>0</v>
      </c>
      <c r="BT56" s="35">
        <f t="shared" si="29"/>
        <v>0</v>
      </c>
      <c r="BU56" s="35">
        <f t="shared" si="29"/>
        <v>0</v>
      </c>
      <c r="BV56" s="35">
        <f t="shared" si="29"/>
        <v>0</v>
      </c>
      <c r="BW56" s="35">
        <f xml:space="preserve"> BW53 + BW54 - BW55</f>
        <v>0</v>
      </c>
      <c r="BX56" s="35">
        <f xml:space="preserve"> BX53 + BX54 - BX55</f>
        <v>0</v>
      </c>
      <c r="BY56" s="35">
        <f xml:space="preserve"> BY53 + BY54 - BY55</f>
        <v>0</v>
      </c>
    </row>
    <row r="57" spans="1:77" x14ac:dyDescent="0.2">
      <c r="J57" s="35"/>
    </row>
    <row r="58" spans="1:77" x14ac:dyDescent="0.2">
      <c r="B58" s="5" t="s">
        <v>76</v>
      </c>
    </row>
    <row r="59" spans="1:77" x14ac:dyDescent="0.2">
      <c r="E59" s="105" t="s">
        <v>74</v>
      </c>
      <c r="F59" s="104" t="s">
        <v>75</v>
      </c>
      <c r="G59" s="38"/>
    </row>
    <row r="60" spans="1:77" s="153" customFormat="1" x14ac:dyDescent="0.2">
      <c r="E60" s="153" t="s">
        <v>48</v>
      </c>
      <c r="F60" s="154">
        <v>45</v>
      </c>
      <c r="G60" s="153" t="s">
        <v>87</v>
      </c>
    </row>
    <row r="61" spans="1:77" s="153" customFormat="1" x14ac:dyDescent="0.2">
      <c r="E61" s="153" t="s">
        <v>49</v>
      </c>
      <c r="F61" s="154">
        <v>35</v>
      </c>
      <c r="G61" s="153" t="s">
        <v>87</v>
      </c>
    </row>
    <row r="62" spans="1:77" s="153" customFormat="1" x14ac:dyDescent="0.2">
      <c r="E62" s="153" t="s">
        <v>50</v>
      </c>
      <c r="F62" s="154">
        <v>25</v>
      </c>
      <c r="G62" s="153" t="s">
        <v>87</v>
      </c>
    </row>
    <row r="63" spans="1:77" s="153" customFormat="1" x14ac:dyDescent="0.2">
      <c r="E63" s="153" t="s">
        <v>51</v>
      </c>
      <c r="F63" s="154">
        <v>25</v>
      </c>
      <c r="G63" s="153" t="s">
        <v>87</v>
      </c>
    </row>
    <row r="64" spans="1:77" s="153" customFormat="1" x14ac:dyDescent="0.2">
      <c r="E64" s="153" t="s">
        <v>52</v>
      </c>
      <c r="F64" s="154">
        <v>25</v>
      </c>
      <c r="G64" s="153" t="s">
        <v>87</v>
      </c>
    </row>
    <row r="65" spans="1:77" s="153" customFormat="1" x14ac:dyDescent="0.2">
      <c r="E65" s="153" t="s">
        <v>53</v>
      </c>
      <c r="F65" s="154">
        <v>25</v>
      </c>
      <c r="G65" s="153" t="s">
        <v>87</v>
      </c>
    </row>
    <row r="66" spans="1:77" s="153" customFormat="1" x14ac:dyDescent="0.2">
      <c r="E66" s="153" t="s">
        <v>54</v>
      </c>
      <c r="F66" s="154">
        <v>25</v>
      </c>
      <c r="G66" s="153" t="s">
        <v>87</v>
      </c>
    </row>
    <row r="67" spans="1:77" s="153" customFormat="1" x14ac:dyDescent="0.2">
      <c r="E67" s="153" t="s">
        <v>55</v>
      </c>
      <c r="F67" s="154">
        <v>25</v>
      </c>
      <c r="G67" s="153" t="s">
        <v>87</v>
      </c>
    </row>
    <row r="68" spans="1:77" s="153" customFormat="1" x14ac:dyDescent="0.2">
      <c r="E68" s="153" t="s">
        <v>56</v>
      </c>
      <c r="F68" s="154">
        <v>25</v>
      </c>
      <c r="G68" s="153" t="s">
        <v>87</v>
      </c>
    </row>
    <row r="69" spans="1:77" s="153" customFormat="1" x14ac:dyDescent="0.2">
      <c r="E69" s="153" t="s">
        <v>57</v>
      </c>
      <c r="F69" s="154">
        <v>25</v>
      </c>
      <c r="G69" s="153" t="s">
        <v>87</v>
      </c>
    </row>
    <row r="70" spans="1:77" s="153" customFormat="1" x14ac:dyDescent="0.2">
      <c r="E70" s="153" t="s">
        <v>58</v>
      </c>
      <c r="F70" s="154">
        <v>25</v>
      </c>
      <c r="G70" s="153" t="s">
        <v>87</v>
      </c>
    </row>
    <row r="71" spans="1:77" s="153" customFormat="1" x14ac:dyDescent="0.2">
      <c r="E71" s="153" t="s">
        <v>59</v>
      </c>
      <c r="F71" s="154">
        <v>25</v>
      </c>
      <c r="G71" s="153" t="s">
        <v>87</v>
      </c>
    </row>
    <row r="72" spans="1:77" s="138" customFormat="1" x14ac:dyDescent="0.2">
      <c r="A72" s="135"/>
      <c r="B72" s="120"/>
      <c r="C72" s="136"/>
      <c r="D72" s="137"/>
      <c r="E72" s="138" t="str">
        <f>Time!E$65</f>
        <v>Month number</v>
      </c>
      <c r="F72" s="138">
        <f>Time!F$65</f>
        <v>0</v>
      </c>
      <c r="G72" s="138" t="str">
        <f>Time!G$65</f>
        <v>month #</v>
      </c>
      <c r="H72" s="138">
        <f>Time!H$65</f>
        <v>0</v>
      </c>
      <c r="I72" s="138">
        <f>Time!I$65</f>
        <v>0</v>
      </c>
      <c r="J72" s="138">
        <f>Time!J$65</f>
        <v>5</v>
      </c>
      <c r="K72" s="138">
        <f>Time!K$65</f>
        <v>6</v>
      </c>
      <c r="L72" s="138">
        <f>Time!L$65</f>
        <v>7</v>
      </c>
      <c r="M72" s="138">
        <f>Time!M$65</f>
        <v>8</v>
      </c>
      <c r="N72" s="138">
        <f>Time!N$65</f>
        <v>9</v>
      </c>
      <c r="O72" s="138">
        <f>Time!O$65</f>
        <v>10</v>
      </c>
      <c r="P72" s="138">
        <f>Time!P$65</f>
        <v>11</v>
      </c>
      <c r="Q72" s="138">
        <f>Time!Q$65</f>
        <v>12</v>
      </c>
      <c r="R72" s="138">
        <f>Time!R$65</f>
        <v>1</v>
      </c>
      <c r="S72" s="138">
        <f>Time!S$65</f>
        <v>2</v>
      </c>
      <c r="T72" s="138">
        <f>Time!T$65</f>
        <v>3</v>
      </c>
      <c r="U72" s="138">
        <f>Time!U$65</f>
        <v>4</v>
      </c>
      <c r="V72" s="138">
        <f>Time!V$65</f>
        <v>5</v>
      </c>
      <c r="W72" s="138">
        <f>Time!W$65</f>
        <v>6</v>
      </c>
      <c r="X72" s="138">
        <f>Time!X$65</f>
        <v>7</v>
      </c>
      <c r="Y72" s="138">
        <f>Time!Y$65</f>
        <v>8</v>
      </c>
      <c r="Z72" s="138">
        <f>Time!Z$65</f>
        <v>9</v>
      </c>
      <c r="AA72" s="138">
        <f>Time!AA$65</f>
        <v>10</v>
      </c>
      <c r="AB72" s="138">
        <f>Time!AB$65</f>
        <v>11</v>
      </c>
      <c r="AC72" s="138">
        <f>Time!AC$65</f>
        <v>12</v>
      </c>
      <c r="AD72" s="138">
        <f>Time!AD$65</f>
        <v>1</v>
      </c>
      <c r="AE72" s="138">
        <f>Time!AE$65</f>
        <v>2</v>
      </c>
      <c r="AF72" s="138">
        <f>Time!AF$65</f>
        <v>3</v>
      </c>
      <c r="AG72" s="138">
        <f>Time!AG$65</f>
        <v>4</v>
      </c>
      <c r="AH72" s="138">
        <f>Time!AH$65</f>
        <v>5</v>
      </c>
      <c r="AI72" s="138">
        <f>Time!AI$65</f>
        <v>6</v>
      </c>
      <c r="AJ72" s="138">
        <f>Time!AJ$65</f>
        <v>7</v>
      </c>
      <c r="AK72" s="138">
        <f>Time!AK$65</f>
        <v>8</v>
      </c>
      <c r="AL72" s="138">
        <f>Time!AL$65</f>
        <v>9</v>
      </c>
      <c r="AM72" s="138">
        <f>Time!AM$65</f>
        <v>10</v>
      </c>
      <c r="AN72" s="138">
        <f>Time!AN$65</f>
        <v>11</v>
      </c>
      <c r="AO72" s="138">
        <f>Time!AO$65</f>
        <v>12</v>
      </c>
      <c r="AP72" s="138">
        <f>Time!AP$65</f>
        <v>1</v>
      </c>
      <c r="AQ72" s="138">
        <f>Time!AQ$65</f>
        <v>2</v>
      </c>
      <c r="AR72" s="138">
        <f>Time!AR$65</f>
        <v>3</v>
      </c>
      <c r="AS72" s="138">
        <f>Time!AS$65</f>
        <v>4</v>
      </c>
      <c r="AT72" s="138">
        <f>Time!AT$65</f>
        <v>5</v>
      </c>
      <c r="AU72" s="138">
        <f>Time!AU$65</f>
        <v>6</v>
      </c>
      <c r="AV72" s="138">
        <f>Time!AV$65</f>
        <v>7</v>
      </c>
      <c r="AW72" s="138">
        <f>Time!AW$65</f>
        <v>8</v>
      </c>
      <c r="AX72" s="138">
        <f>Time!AX$65</f>
        <v>9</v>
      </c>
      <c r="AY72" s="138">
        <f>Time!AY$65</f>
        <v>10</v>
      </c>
      <c r="AZ72" s="138">
        <f>Time!AZ$65</f>
        <v>11</v>
      </c>
      <c r="BA72" s="138">
        <f>Time!BA$65</f>
        <v>12</v>
      </c>
      <c r="BB72" s="138">
        <f>Time!BB$65</f>
        <v>1</v>
      </c>
      <c r="BC72" s="138">
        <f>Time!BC$65</f>
        <v>2</v>
      </c>
      <c r="BD72" s="138">
        <f>Time!BD$65</f>
        <v>3</v>
      </c>
      <c r="BE72" s="138">
        <f>Time!BE$65</f>
        <v>4</v>
      </c>
      <c r="BF72" s="138">
        <f>Time!BF$65</f>
        <v>5</v>
      </c>
      <c r="BG72" s="138">
        <f>Time!BG$65</f>
        <v>6</v>
      </c>
      <c r="BH72" s="138">
        <f>Time!BH$65</f>
        <v>7</v>
      </c>
      <c r="BI72" s="138">
        <f>Time!BI$65</f>
        <v>8</v>
      </c>
      <c r="BJ72" s="138">
        <f>Time!BJ$65</f>
        <v>9</v>
      </c>
      <c r="BK72" s="138">
        <f>Time!BK$65</f>
        <v>10</v>
      </c>
      <c r="BL72" s="138">
        <f>Time!BL$65</f>
        <v>11</v>
      </c>
      <c r="BM72" s="138">
        <f>Time!BM$65</f>
        <v>12</v>
      </c>
      <c r="BN72" s="138">
        <f>Time!BN$65</f>
        <v>1</v>
      </c>
      <c r="BO72" s="138">
        <f>Time!BO$65</f>
        <v>2</v>
      </c>
      <c r="BP72" s="138">
        <f>Time!BP$65</f>
        <v>3</v>
      </c>
      <c r="BQ72" s="138">
        <f>Time!BQ$65</f>
        <v>4</v>
      </c>
      <c r="BR72" s="138">
        <f>Time!BR$65</f>
        <v>5</v>
      </c>
      <c r="BS72" s="138">
        <f>Time!BS$65</f>
        <v>6</v>
      </c>
      <c r="BT72" s="138">
        <f>Time!BT$65</f>
        <v>7</v>
      </c>
      <c r="BU72" s="138">
        <f>Time!BU$65</f>
        <v>8</v>
      </c>
      <c r="BV72" s="138">
        <f>Time!BV$65</f>
        <v>9</v>
      </c>
      <c r="BW72" s="138">
        <f>Time!BW$65</f>
        <v>10</v>
      </c>
      <c r="BX72" s="138">
        <f>Time!BX$65</f>
        <v>11</v>
      </c>
      <c r="BY72" s="138">
        <f>Time!BY$65</f>
        <v>12</v>
      </c>
    </row>
    <row r="73" spans="1:77" s="95" customFormat="1" x14ac:dyDescent="0.2">
      <c r="A73" s="92"/>
      <c r="B73" s="93"/>
      <c r="C73" s="94"/>
      <c r="D73" s="101"/>
      <c r="E73" s="95" t="s">
        <v>61</v>
      </c>
      <c r="G73" s="95" t="s">
        <v>87</v>
      </c>
      <c r="J73" s="95">
        <f t="shared" ref="J73:AO73" si="30" xml:space="preserve"> INDEX($F60:$F71, J72)</f>
        <v>25</v>
      </c>
      <c r="K73" s="95">
        <f t="shared" si="30"/>
        <v>25</v>
      </c>
      <c r="L73" s="95">
        <f t="shared" si="30"/>
        <v>25</v>
      </c>
      <c r="M73" s="95">
        <f t="shared" si="30"/>
        <v>25</v>
      </c>
      <c r="N73" s="95">
        <f t="shared" si="30"/>
        <v>25</v>
      </c>
      <c r="O73" s="95">
        <f t="shared" si="30"/>
        <v>25</v>
      </c>
      <c r="P73" s="95">
        <f t="shared" si="30"/>
        <v>25</v>
      </c>
      <c r="Q73" s="95">
        <f t="shared" si="30"/>
        <v>25</v>
      </c>
      <c r="R73" s="95">
        <f t="shared" si="30"/>
        <v>45</v>
      </c>
      <c r="S73" s="95">
        <f t="shared" si="30"/>
        <v>35</v>
      </c>
      <c r="T73" s="95">
        <f t="shared" si="30"/>
        <v>25</v>
      </c>
      <c r="U73" s="95">
        <f t="shared" si="30"/>
        <v>25</v>
      </c>
      <c r="V73" s="95">
        <f t="shared" si="30"/>
        <v>25</v>
      </c>
      <c r="W73" s="95">
        <f t="shared" si="30"/>
        <v>25</v>
      </c>
      <c r="X73" s="95">
        <f t="shared" si="30"/>
        <v>25</v>
      </c>
      <c r="Y73" s="95">
        <f t="shared" si="30"/>
        <v>25</v>
      </c>
      <c r="Z73" s="95">
        <f t="shared" si="30"/>
        <v>25</v>
      </c>
      <c r="AA73" s="95">
        <f t="shared" si="30"/>
        <v>25</v>
      </c>
      <c r="AB73" s="95">
        <f t="shared" si="30"/>
        <v>25</v>
      </c>
      <c r="AC73" s="95">
        <f t="shared" si="30"/>
        <v>25</v>
      </c>
      <c r="AD73" s="95">
        <f t="shared" si="30"/>
        <v>45</v>
      </c>
      <c r="AE73" s="95">
        <f t="shared" si="30"/>
        <v>35</v>
      </c>
      <c r="AF73" s="95">
        <f t="shared" si="30"/>
        <v>25</v>
      </c>
      <c r="AG73" s="95">
        <f t="shared" si="30"/>
        <v>25</v>
      </c>
      <c r="AH73" s="95">
        <f t="shared" si="30"/>
        <v>25</v>
      </c>
      <c r="AI73" s="95">
        <f t="shared" si="30"/>
        <v>25</v>
      </c>
      <c r="AJ73" s="95">
        <f t="shared" si="30"/>
        <v>25</v>
      </c>
      <c r="AK73" s="95">
        <f t="shared" si="30"/>
        <v>25</v>
      </c>
      <c r="AL73" s="95">
        <f t="shared" si="30"/>
        <v>25</v>
      </c>
      <c r="AM73" s="95">
        <f t="shared" si="30"/>
        <v>25</v>
      </c>
      <c r="AN73" s="95">
        <f t="shared" si="30"/>
        <v>25</v>
      </c>
      <c r="AO73" s="95">
        <f t="shared" si="30"/>
        <v>25</v>
      </c>
      <c r="AP73" s="95">
        <f t="shared" ref="AP73:BU73" si="31" xml:space="preserve"> INDEX($F60:$F71, AP72)</f>
        <v>45</v>
      </c>
      <c r="AQ73" s="95">
        <f t="shared" si="31"/>
        <v>35</v>
      </c>
      <c r="AR73" s="95">
        <f t="shared" si="31"/>
        <v>25</v>
      </c>
      <c r="AS73" s="95">
        <f t="shared" si="31"/>
        <v>25</v>
      </c>
      <c r="AT73" s="95">
        <f t="shared" si="31"/>
        <v>25</v>
      </c>
      <c r="AU73" s="95">
        <f t="shared" si="31"/>
        <v>25</v>
      </c>
      <c r="AV73" s="95">
        <f t="shared" si="31"/>
        <v>25</v>
      </c>
      <c r="AW73" s="95">
        <f t="shared" si="31"/>
        <v>25</v>
      </c>
      <c r="AX73" s="95">
        <f t="shared" si="31"/>
        <v>25</v>
      </c>
      <c r="AY73" s="95">
        <f t="shared" si="31"/>
        <v>25</v>
      </c>
      <c r="AZ73" s="95">
        <f t="shared" si="31"/>
        <v>25</v>
      </c>
      <c r="BA73" s="95">
        <f t="shared" si="31"/>
        <v>25</v>
      </c>
      <c r="BB73" s="95">
        <f t="shared" si="31"/>
        <v>45</v>
      </c>
      <c r="BC73" s="95">
        <f t="shared" si="31"/>
        <v>35</v>
      </c>
      <c r="BD73" s="95">
        <f t="shared" si="31"/>
        <v>25</v>
      </c>
      <c r="BE73" s="95">
        <f t="shared" si="31"/>
        <v>25</v>
      </c>
      <c r="BF73" s="95">
        <f t="shared" si="31"/>
        <v>25</v>
      </c>
      <c r="BG73" s="95">
        <f t="shared" si="31"/>
        <v>25</v>
      </c>
      <c r="BH73" s="95">
        <f t="shared" si="31"/>
        <v>25</v>
      </c>
      <c r="BI73" s="95">
        <f t="shared" si="31"/>
        <v>25</v>
      </c>
      <c r="BJ73" s="95">
        <f t="shared" si="31"/>
        <v>25</v>
      </c>
      <c r="BK73" s="95">
        <f t="shared" si="31"/>
        <v>25</v>
      </c>
      <c r="BL73" s="95">
        <f t="shared" si="31"/>
        <v>25</v>
      </c>
      <c r="BM73" s="95">
        <f t="shared" si="31"/>
        <v>25</v>
      </c>
      <c r="BN73" s="95">
        <f t="shared" si="31"/>
        <v>45</v>
      </c>
      <c r="BO73" s="95">
        <f t="shared" si="31"/>
        <v>35</v>
      </c>
      <c r="BP73" s="95">
        <f t="shared" si="31"/>
        <v>25</v>
      </c>
      <c r="BQ73" s="95">
        <f t="shared" si="31"/>
        <v>25</v>
      </c>
      <c r="BR73" s="95">
        <f t="shared" si="31"/>
        <v>25</v>
      </c>
      <c r="BS73" s="95">
        <f t="shared" si="31"/>
        <v>25</v>
      </c>
      <c r="BT73" s="95">
        <f t="shared" si="31"/>
        <v>25</v>
      </c>
      <c r="BU73" s="95">
        <f t="shared" si="31"/>
        <v>25</v>
      </c>
      <c r="BV73" s="95">
        <f xml:space="preserve"> INDEX($F60:$F71, BV72)</f>
        <v>25</v>
      </c>
      <c r="BW73" s="95">
        <f xml:space="preserve"> INDEX($F60:$F71, BW72)</f>
        <v>25</v>
      </c>
      <c r="BX73" s="95">
        <f xml:space="preserve"> INDEX($F60:$F71, BX72)</f>
        <v>25</v>
      </c>
      <c r="BY73" s="95">
        <f xml:space="preserve"> INDEX($F60:$F71, BY72)</f>
        <v>25</v>
      </c>
    </row>
  </sheetData>
  <phoneticPr fontId="15" type="noConversion"/>
  <conditionalFormatting sqref="J3:BY3">
    <cfRule type="cellIs" dxfId="11" priority="5" stopIfTrue="1" operator="equal">
      <formula>"Pre-forecast"</formula>
    </cfRule>
    <cfRule type="cellIs" dxfId="10" priority="6" stopIfTrue="1" operator="equal">
      <formula>"Forecast"</formula>
    </cfRule>
  </conditionalFormatting>
  <conditionalFormatting sqref="F3:F4">
    <cfRule type="cellIs" dxfId="9" priority="1" stopIfTrue="1" operator="notEqual">
      <formula>0</formula>
    </cfRule>
    <cfRule type="cellIs" dxfId="8" priority="2" stopIfTrue="1" operator="equal">
      <formula>""</formula>
    </cfRule>
  </conditionalFormatting>
  <conditionalFormatting sqref="F2">
    <cfRule type="cellIs" dxfId="7" priority="3" stopIfTrue="1" operator="notEqual">
      <formula>0</formula>
    </cfRule>
    <cfRule type="cellIs" dxfId="6" priority="4" stopIfTrue="1" operator="equal">
      <formula>""</formula>
    </cfRule>
  </conditionalFormatting>
  <printOptions verticalCentered="1" headings="1"/>
  <pageMargins left="0.74803149606299213" right="0.74803149606299213" top="0.98425196850393704" bottom="0.98425196850393704" header="0.51181102362204722" footer="0.51181102362204722"/>
  <pageSetup paperSize="9" scale="55" orientation="landscape" blackAndWhite="1" r:id="rId1"/>
  <headerFooter alignWithMargins="0">
    <oddHeader>&amp;L&amp;"Arial,Bold"&amp;14PROJECT BIOMASS&amp;C&amp;"Arial,Bold"&amp;14Sheet: &amp;A&amp;R&amp;"Arial,Bold"&amp;14STRICTLY CONFIDENTIAL</oddHeader>
    <oddFooter>&amp;L&amp;F ( Printed on &amp;D at &amp;T )&amp;RPage &amp;P</oddFooter>
  </headerFooter>
  <rowBreaks count="1" manualBreakCount="1">
    <brk id="57" max="76" man="1"/>
  </rowBreaks>
  <customProperties>
    <customPr name="Guid" r:id="rId2"/>
  </customPropertie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13"/>
    <outlinePr summaryBelow="0" summaryRight="0"/>
  </sheetPr>
  <dimension ref="A1:BY22"/>
  <sheetViews>
    <sheetView defaultGridColor="0" colorId="22" zoomScale="80" workbookViewId="0">
      <pane xSplit="9" ySplit="5" topLeftCell="J6" activePane="bottomRight" state="frozen"/>
      <selection activeCell="L30" sqref="L30"/>
      <selection pane="topRight" activeCell="L30" sqref="L30"/>
      <selection pane="bottomLeft" activeCell="L30" sqref="L30"/>
      <selection pane="bottomRight" activeCell="J6" sqref="J6"/>
    </sheetView>
  </sheetViews>
  <sheetFormatPr defaultColWidth="0" defaultRowHeight="12.75" x14ac:dyDescent="0.2"/>
  <cols>
    <col min="1" max="1" width="1.28515625" style="10" customWidth="1"/>
    <col min="2" max="2" width="1.28515625" style="5" customWidth="1"/>
    <col min="3" max="3" width="1.28515625" style="12" customWidth="1"/>
    <col min="4" max="4" width="1.28515625" style="38" customWidth="1"/>
    <col min="5" max="5" width="40.7109375" style="2" customWidth="1"/>
    <col min="6" max="6" width="12.7109375" style="2" customWidth="1"/>
    <col min="7" max="8" width="11.7109375" style="2" customWidth="1"/>
    <col min="9" max="9" width="2.7109375" style="2" customWidth="1"/>
    <col min="10" max="77" width="11.7109375" style="2" customWidth="1"/>
    <col min="78" max="16384" width="0" style="2" hidden="1"/>
  </cols>
  <sheetData>
    <row r="1" spans="1:77" s="113" customFormat="1" ht="26.25" x14ac:dyDescent="0.2">
      <c r="A1" s="82" t="str">
        <f ca="1" xml:space="preserve"> RIGHT(CELL("filename", A1), LEN(CELL("filename", A1)) - SEARCH("]", CELL("filename", A1)))</f>
        <v>Temp</v>
      </c>
      <c r="B1" s="143"/>
      <c r="C1" s="72"/>
      <c r="D1" s="157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56"/>
    </row>
    <row r="2" spans="1:77" s="68" customFormat="1" x14ac:dyDescent="0.2">
      <c r="B2" s="69"/>
      <c r="C2" s="70"/>
      <c r="D2" s="112"/>
      <c r="E2" s="71" t="str">
        <f xml:space="preserve"> Time!E$19</f>
        <v xml:space="preserve">Model period ending </v>
      </c>
      <c r="F2" s="159"/>
      <c r="G2" s="160" t="s">
        <v>92</v>
      </c>
      <c r="H2" s="61"/>
      <c r="J2" s="68">
        <f xml:space="preserve"> Time!J$19</f>
        <v>40694</v>
      </c>
      <c r="K2" s="68">
        <f xml:space="preserve"> Time!K$19</f>
        <v>40724</v>
      </c>
      <c r="L2" s="68">
        <f xml:space="preserve"> Time!L$19</f>
        <v>40755</v>
      </c>
      <c r="M2" s="68">
        <f xml:space="preserve"> Time!M$19</f>
        <v>40786</v>
      </c>
      <c r="N2" s="68">
        <f xml:space="preserve"> Time!N$19</f>
        <v>40816</v>
      </c>
      <c r="O2" s="68">
        <f xml:space="preserve"> Time!O$19</f>
        <v>40847</v>
      </c>
      <c r="P2" s="68">
        <f xml:space="preserve"> Time!P$19</f>
        <v>40877</v>
      </c>
      <c r="Q2" s="68">
        <f xml:space="preserve"> Time!Q$19</f>
        <v>40908</v>
      </c>
      <c r="R2" s="68">
        <f xml:space="preserve"> Time!R$19</f>
        <v>40939</v>
      </c>
      <c r="S2" s="68">
        <f xml:space="preserve"> Time!S$19</f>
        <v>40968</v>
      </c>
      <c r="T2" s="68">
        <f xml:space="preserve"> Time!T$19</f>
        <v>40999</v>
      </c>
      <c r="U2" s="68">
        <f xml:space="preserve"> Time!U$19</f>
        <v>41029</v>
      </c>
      <c r="V2" s="68">
        <f xml:space="preserve"> Time!V$19</f>
        <v>41060</v>
      </c>
      <c r="W2" s="68">
        <f xml:space="preserve"> Time!W$19</f>
        <v>41090</v>
      </c>
      <c r="X2" s="68">
        <f xml:space="preserve"> Time!X$19</f>
        <v>41121</v>
      </c>
      <c r="Y2" s="68">
        <f xml:space="preserve"> Time!Y$19</f>
        <v>41152</v>
      </c>
      <c r="Z2" s="68">
        <f xml:space="preserve"> Time!Z$19</f>
        <v>41182</v>
      </c>
      <c r="AA2" s="68">
        <f xml:space="preserve"> Time!AA$19</f>
        <v>41213</v>
      </c>
      <c r="AB2" s="68">
        <f xml:space="preserve"> Time!AB$19</f>
        <v>41243</v>
      </c>
      <c r="AC2" s="68">
        <f xml:space="preserve"> Time!AC$19</f>
        <v>41274</v>
      </c>
      <c r="AD2" s="68">
        <f xml:space="preserve"> Time!AD$19</f>
        <v>41305</v>
      </c>
      <c r="AE2" s="68">
        <f xml:space="preserve"> Time!AE$19</f>
        <v>41333</v>
      </c>
      <c r="AF2" s="68">
        <f xml:space="preserve"> Time!AF$19</f>
        <v>41364</v>
      </c>
      <c r="AG2" s="68">
        <f xml:space="preserve"> Time!AG$19</f>
        <v>41394</v>
      </c>
      <c r="AH2" s="68">
        <f xml:space="preserve"> Time!AH$19</f>
        <v>41425</v>
      </c>
      <c r="AI2" s="68">
        <f xml:space="preserve"> Time!AI$19</f>
        <v>41455</v>
      </c>
      <c r="AJ2" s="68">
        <f xml:space="preserve"> Time!AJ$19</f>
        <v>41486</v>
      </c>
      <c r="AK2" s="68">
        <f xml:space="preserve"> Time!AK$19</f>
        <v>41517</v>
      </c>
      <c r="AL2" s="68">
        <f xml:space="preserve"> Time!AL$19</f>
        <v>41547</v>
      </c>
      <c r="AM2" s="68">
        <f xml:space="preserve"> Time!AM$19</f>
        <v>41578</v>
      </c>
      <c r="AN2" s="68">
        <f xml:space="preserve"> Time!AN$19</f>
        <v>41608</v>
      </c>
      <c r="AO2" s="68">
        <f xml:space="preserve"> Time!AO$19</f>
        <v>41639</v>
      </c>
      <c r="AP2" s="68">
        <f xml:space="preserve"> Time!AP$19</f>
        <v>41670</v>
      </c>
      <c r="AQ2" s="68">
        <f xml:space="preserve"> Time!AQ$19</f>
        <v>41698</v>
      </c>
      <c r="AR2" s="68">
        <f xml:space="preserve"> Time!AR$19</f>
        <v>41729</v>
      </c>
      <c r="AS2" s="68">
        <f xml:space="preserve"> Time!AS$19</f>
        <v>41759</v>
      </c>
      <c r="AT2" s="68">
        <f xml:space="preserve"> Time!AT$19</f>
        <v>41790</v>
      </c>
      <c r="AU2" s="68">
        <f xml:space="preserve"> Time!AU$19</f>
        <v>41820</v>
      </c>
      <c r="AV2" s="68">
        <f xml:space="preserve"> Time!AV$19</f>
        <v>41851</v>
      </c>
      <c r="AW2" s="68">
        <f xml:space="preserve"> Time!AW$19</f>
        <v>41882</v>
      </c>
      <c r="AX2" s="68">
        <f xml:space="preserve"> Time!AX$19</f>
        <v>41912</v>
      </c>
      <c r="AY2" s="68">
        <f xml:space="preserve"> Time!AY$19</f>
        <v>41943</v>
      </c>
      <c r="AZ2" s="68">
        <f xml:space="preserve"> Time!AZ$19</f>
        <v>41973</v>
      </c>
      <c r="BA2" s="68">
        <f xml:space="preserve"> Time!BA$19</f>
        <v>42004</v>
      </c>
      <c r="BB2" s="68">
        <f xml:space="preserve"> Time!BB$19</f>
        <v>42035</v>
      </c>
      <c r="BC2" s="68">
        <f xml:space="preserve"> Time!BC$19</f>
        <v>42063</v>
      </c>
      <c r="BD2" s="68">
        <f xml:space="preserve"> Time!BD$19</f>
        <v>42094</v>
      </c>
      <c r="BE2" s="68">
        <f xml:space="preserve"> Time!BE$19</f>
        <v>42124</v>
      </c>
      <c r="BF2" s="68">
        <f xml:space="preserve"> Time!BF$19</f>
        <v>42155</v>
      </c>
      <c r="BG2" s="68">
        <f xml:space="preserve"> Time!BG$19</f>
        <v>42185</v>
      </c>
      <c r="BH2" s="68">
        <f xml:space="preserve"> Time!BH$19</f>
        <v>42216</v>
      </c>
      <c r="BI2" s="68">
        <f xml:space="preserve"> Time!BI$19</f>
        <v>42247</v>
      </c>
      <c r="BJ2" s="68">
        <f xml:space="preserve"> Time!BJ$19</f>
        <v>42277</v>
      </c>
      <c r="BK2" s="68">
        <f xml:space="preserve"> Time!BK$19</f>
        <v>42308</v>
      </c>
      <c r="BL2" s="68">
        <f xml:space="preserve"> Time!BL$19</f>
        <v>42338</v>
      </c>
      <c r="BM2" s="68">
        <f xml:space="preserve"> Time!BM$19</f>
        <v>42369</v>
      </c>
      <c r="BN2" s="68">
        <f xml:space="preserve"> Time!BN$19</f>
        <v>42400</v>
      </c>
      <c r="BO2" s="68">
        <f xml:space="preserve"> Time!BO$19</f>
        <v>42429</v>
      </c>
      <c r="BP2" s="68">
        <f xml:space="preserve"> Time!BP$19</f>
        <v>42460</v>
      </c>
      <c r="BQ2" s="68">
        <f xml:space="preserve"> Time!BQ$19</f>
        <v>42490</v>
      </c>
      <c r="BR2" s="68">
        <f xml:space="preserve"> Time!BR$19</f>
        <v>42521</v>
      </c>
      <c r="BS2" s="68">
        <f xml:space="preserve"> Time!BS$19</f>
        <v>42551</v>
      </c>
      <c r="BT2" s="68">
        <f xml:space="preserve"> Time!BT$19</f>
        <v>42582</v>
      </c>
      <c r="BU2" s="68">
        <f xml:space="preserve"> Time!BU$19</f>
        <v>42613</v>
      </c>
      <c r="BV2" s="68">
        <f xml:space="preserve"> Time!BV$19</f>
        <v>42643</v>
      </c>
      <c r="BW2" s="68">
        <f xml:space="preserve"> Time!BW$19</f>
        <v>42674</v>
      </c>
      <c r="BX2" s="68">
        <f xml:space="preserve"> Time!BX$19</f>
        <v>42704</v>
      </c>
      <c r="BY2" s="68">
        <f xml:space="preserve"> Time!BY$19</f>
        <v>42735</v>
      </c>
    </row>
    <row r="3" spans="1:77" s="7" customFormat="1" x14ac:dyDescent="0.2">
      <c r="A3" s="10"/>
      <c r="B3" s="5"/>
      <c r="C3" s="72"/>
      <c r="D3" s="6"/>
      <c r="E3" s="7" t="str">
        <f ca="1" xml:space="preserve"> Time!E$55</f>
        <v>Pre-forecast Vs forecast</v>
      </c>
      <c r="F3" s="161"/>
      <c r="G3" s="162" t="s">
        <v>93</v>
      </c>
      <c r="H3" s="61"/>
      <c r="J3" s="158" t="str">
        <f xml:space="preserve"> Time!J$55</f>
        <v>Pre-forecast</v>
      </c>
      <c r="K3" s="158" t="str">
        <f xml:space="preserve"> Time!K$55</f>
        <v>Forecast</v>
      </c>
      <c r="L3" s="158" t="str">
        <f xml:space="preserve"> Time!L$55</f>
        <v>Forecast</v>
      </c>
      <c r="M3" s="158" t="str">
        <f xml:space="preserve"> Time!M$55</f>
        <v>Forecast</v>
      </c>
      <c r="N3" s="158" t="str">
        <f xml:space="preserve"> Time!N$55</f>
        <v>Forecast</v>
      </c>
      <c r="O3" s="158" t="str">
        <f xml:space="preserve"> Time!O$55</f>
        <v>Forecast</v>
      </c>
      <c r="P3" s="158" t="str">
        <f xml:space="preserve"> Time!P$55</f>
        <v>Forecast</v>
      </c>
      <c r="Q3" s="158" t="str">
        <f xml:space="preserve"> Time!Q$55</f>
        <v>Forecast</v>
      </c>
      <c r="R3" s="158" t="str">
        <f xml:space="preserve"> Time!R$55</f>
        <v>Forecast</v>
      </c>
      <c r="S3" s="158" t="str">
        <f xml:space="preserve"> Time!S$55</f>
        <v>Forecast</v>
      </c>
      <c r="T3" s="158" t="str">
        <f xml:space="preserve"> Time!T$55</f>
        <v>Forecast</v>
      </c>
      <c r="U3" s="158" t="str">
        <f xml:space="preserve"> Time!U$55</f>
        <v>Forecast</v>
      </c>
      <c r="V3" s="158" t="str">
        <f xml:space="preserve"> Time!V$55</f>
        <v>Forecast</v>
      </c>
      <c r="W3" s="158" t="str">
        <f xml:space="preserve"> Time!W$55</f>
        <v>Forecast</v>
      </c>
      <c r="X3" s="158" t="str">
        <f xml:space="preserve"> Time!X$55</f>
        <v>Forecast</v>
      </c>
      <c r="Y3" s="158" t="str">
        <f xml:space="preserve"> Time!Y$55</f>
        <v>Forecast</v>
      </c>
      <c r="Z3" s="158" t="str">
        <f xml:space="preserve"> Time!Z$55</f>
        <v>Forecast</v>
      </c>
      <c r="AA3" s="158" t="str">
        <f xml:space="preserve"> Time!AA$55</f>
        <v>Forecast</v>
      </c>
      <c r="AB3" s="158" t="str">
        <f xml:space="preserve"> Time!AB$55</f>
        <v>Forecast</v>
      </c>
      <c r="AC3" s="158" t="str">
        <f xml:space="preserve"> Time!AC$55</f>
        <v>Forecast</v>
      </c>
      <c r="AD3" s="158" t="str">
        <f xml:space="preserve"> Time!AD$55</f>
        <v>Forecast</v>
      </c>
      <c r="AE3" s="158" t="str">
        <f xml:space="preserve"> Time!AE$55</f>
        <v>Forecast</v>
      </c>
      <c r="AF3" s="158" t="str">
        <f xml:space="preserve"> Time!AF$55</f>
        <v>Forecast</v>
      </c>
      <c r="AG3" s="158" t="str">
        <f xml:space="preserve"> Time!AG$55</f>
        <v>Forecast</v>
      </c>
      <c r="AH3" s="158" t="str">
        <f xml:space="preserve"> Time!AH$55</f>
        <v>Forecast</v>
      </c>
      <c r="AI3" s="158" t="str">
        <f xml:space="preserve"> Time!AI$55</f>
        <v>Forecast</v>
      </c>
      <c r="AJ3" s="158" t="str">
        <f xml:space="preserve"> Time!AJ$55</f>
        <v>Forecast</v>
      </c>
      <c r="AK3" s="158" t="str">
        <f xml:space="preserve"> Time!AK$55</f>
        <v>Forecast</v>
      </c>
      <c r="AL3" s="158" t="str">
        <f xml:space="preserve"> Time!AL$55</f>
        <v>Forecast</v>
      </c>
      <c r="AM3" s="158" t="str">
        <f xml:space="preserve"> Time!AM$55</f>
        <v>Forecast</v>
      </c>
      <c r="AN3" s="158" t="str">
        <f xml:space="preserve"> Time!AN$55</f>
        <v>Forecast</v>
      </c>
      <c r="AO3" s="158" t="str">
        <f xml:space="preserve"> Time!AO$55</f>
        <v>Forecast</v>
      </c>
      <c r="AP3" s="158" t="str">
        <f xml:space="preserve"> Time!AP$55</f>
        <v>Forecast</v>
      </c>
      <c r="AQ3" s="158" t="str">
        <f xml:space="preserve"> Time!AQ$55</f>
        <v>Forecast</v>
      </c>
      <c r="AR3" s="158" t="str">
        <f xml:space="preserve"> Time!AR$55</f>
        <v>Forecast</v>
      </c>
      <c r="AS3" s="158" t="str">
        <f xml:space="preserve"> Time!AS$55</f>
        <v>Forecast</v>
      </c>
      <c r="AT3" s="158" t="str">
        <f xml:space="preserve"> Time!AT$55</f>
        <v>Forecast</v>
      </c>
      <c r="AU3" s="158" t="str">
        <f xml:space="preserve"> Time!AU$55</f>
        <v>Forecast</v>
      </c>
      <c r="AV3" s="158" t="str">
        <f xml:space="preserve"> Time!AV$55</f>
        <v>Forecast</v>
      </c>
      <c r="AW3" s="158" t="str">
        <f xml:space="preserve"> Time!AW$55</f>
        <v>Forecast</v>
      </c>
      <c r="AX3" s="158" t="str">
        <f xml:space="preserve"> Time!AX$55</f>
        <v>Forecast</v>
      </c>
      <c r="AY3" s="158" t="str">
        <f xml:space="preserve"> Time!AY$55</f>
        <v>Forecast</v>
      </c>
      <c r="AZ3" s="158" t="str">
        <f xml:space="preserve"> Time!AZ$55</f>
        <v>Forecast</v>
      </c>
      <c r="BA3" s="158" t="str">
        <f xml:space="preserve"> Time!BA$55</f>
        <v>Forecast</v>
      </c>
      <c r="BB3" s="158" t="str">
        <f xml:space="preserve"> Time!BB$55</f>
        <v>Forecast</v>
      </c>
      <c r="BC3" s="158" t="str">
        <f xml:space="preserve"> Time!BC$55</f>
        <v>Forecast</v>
      </c>
      <c r="BD3" s="158" t="str">
        <f xml:space="preserve"> Time!BD$55</f>
        <v>Forecast</v>
      </c>
      <c r="BE3" s="158" t="str">
        <f xml:space="preserve"> Time!BE$55</f>
        <v>Forecast</v>
      </c>
      <c r="BF3" s="158" t="str">
        <f xml:space="preserve"> Time!BF$55</f>
        <v>Forecast</v>
      </c>
      <c r="BG3" s="158" t="str">
        <f xml:space="preserve"> Time!BG$55</f>
        <v>Forecast</v>
      </c>
      <c r="BH3" s="158" t="str">
        <f xml:space="preserve"> Time!BH$55</f>
        <v>Forecast</v>
      </c>
      <c r="BI3" s="158" t="str">
        <f xml:space="preserve"> Time!BI$55</f>
        <v>Forecast</v>
      </c>
      <c r="BJ3" s="158" t="str">
        <f xml:space="preserve"> Time!BJ$55</f>
        <v>Forecast</v>
      </c>
      <c r="BK3" s="158" t="str">
        <f xml:space="preserve"> Time!BK$55</f>
        <v>Forecast</v>
      </c>
      <c r="BL3" s="158" t="str">
        <f xml:space="preserve"> Time!BL$55</f>
        <v>Forecast</v>
      </c>
      <c r="BM3" s="158" t="str">
        <f xml:space="preserve"> Time!BM$55</f>
        <v>Forecast</v>
      </c>
      <c r="BN3" s="158" t="str">
        <f xml:space="preserve"> Time!BN$55</f>
        <v>Forecast</v>
      </c>
      <c r="BO3" s="158" t="str">
        <f xml:space="preserve"> Time!BO$55</f>
        <v>Forecast</v>
      </c>
      <c r="BP3" s="158" t="str">
        <f xml:space="preserve"> Time!BP$55</f>
        <v>Forecast</v>
      </c>
      <c r="BQ3" s="158" t="str">
        <f xml:space="preserve"> Time!BQ$55</f>
        <v>Forecast</v>
      </c>
      <c r="BR3" s="158" t="str">
        <f xml:space="preserve"> Time!BR$55</f>
        <v>Forecast</v>
      </c>
      <c r="BS3" s="158" t="str">
        <f xml:space="preserve"> Time!BS$55</f>
        <v>Post-Frcst</v>
      </c>
      <c r="BT3" s="158" t="str">
        <f xml:space="preserve"> Time!BT$55</f>
        <v>Post-Frcst</v>
      </c>
      <c r="BU3" s="158" t="str">
        <f xml:space="preserve"> Time!BU$55</f>
        <v>Post-Frcst</v>
      </c>
      <c r="BV3" s="158" t="str">
        <f xml:space="preserve"> Time!BV$55</f>
        <v>Post-Frcst</v>
      </c>
      <c r="BW3" s="158" t="str">
        <f xml:space="preserve"> Time!BW$55</f>
        <v>Post-Frcst</v>
      </c>
      <c r="BX3" s="158" t="str">
        <f xml:space="preserve"> Time!BX$55</f>
        <v>Post-Frcst</v>
      </c>
      <c r="BY3" s="158" t="str">
        <f xml:space="preserve"> Time!BY$55</f>
        <v>Post-Frcst</v>
      </c>
    </row>
    <row r="4" spans="1:77" s="7" customFormat="1" x14ac:dyDescent="0.2">
      <c r="A4" s="10"/>
      <c r="B4" s="5"/>
      <c r="C4" s="72"/>
      <c r="D4" s="6"/>
      <c r="E4" s="7" t="str">
        <f xml:space="preserve"> Time!E$25</f>
        <v>Financial year ending</v>
      </c>
      <c r="F4" s="161"/>
      <c r="G4" s="162" t="s">
        <v>94</v>
      </c>
      <c r="J4" s="73">
        <f xml:space="preserve"> Time!J$25</f>
        <v>2011</v>
      </c>
      <c r="K4" s="73">
        <f xml:space="preserve"> Time!K$25</f>
        <v>2011</v>
      </c>
      <c r="L4" s="73">
        <f xml:space="preserve"> Time!L$25</f>
        <v>2012</v>
      </c>
      <c r="M4" s="73">
        <f xml:space="preserve"> Time!M$25</f>
        <v>2012</v>
      </c>
      <c r="N4" s="73">
        <f xml:space="preserve"> Time!N$25</f>
        <v>2012</v>
      </c>
      <c r="O4" s="73">
        <f xml:space="preserve"> Time!O$25</f>
        <v>2012</v>
      </c>
      <c r="P4" s="73">
        <f xml:space="preserve"> Time!P$25</f>
        <v>2012</v>
      </c>
      <c r="Q4" s="73">
        <f xml:space="preserve"> Time!Q$25</f>
        <v>2012</v>
      </c>
      <c r="R4" s="73">
        <f xml:space="preserve"> Time!R$25</f>
        <v>2012</v>
      </c>
      <c r="S4" s="73">
        <f xml:space="preserve"> Time!S$25</f>
        <v>2012</v>
      </c>
      <c r="T4" s="73">
        <f xml:space="preserve"> Time!T$25</f>
        <v>2012</v>
      </c>
      <c r="U4" s="73">
        <f xml:space="preserve"> Time!U$25</f>
        <v>2012</v>
      </c>
      <c r="V4" s="73">
        <f xml:space="preserve"> Time!V$25</f>
        <v>2012</v>
      </c>
      <c r="W4" s="73">
        <f xml:space="preserve"> Time!W$25</f>
        <v>2012</v>
      </c>
      <c r="X4" s="73">
        <f xml:space="preserve"> Time!X$25</f>
        <v>2013</v>
      </c>
      <c r="Y4" s="73">
        <f xml:space="preserve"> Time!Y$25</f>
        <v>2013</v>
      </c>
      <c r="Z4" s="73">
        <f xml:space="preserve"> Time!Z$25</f>
        <v>2013</v>
      </c>
      <c r="AA4" s="73">
        <f xml:space="preserve"> Time!AA$25</f>
        <v>2013</v>
      </c>
      <c r="AB4" s="73">
        <f xml:space="preserve"> Time!AB$25</f>
        <v>2013</v>
      </c>
      <c r="AC4" s="73">
        <f xml:space="preserve"> Time!AC$25</f>
        <v>2013</v>
      </c>
      <c r="AD4" s="73">
        <f xml:space="preserve"> Time!AD$25</f>
        <v>2013</v>
      </c>
      <c r="AE4" s="73">
        <f xml:space="preserve"> Time!AE$25</f>
        <v>2013</v>
      </c>
      <c r="AF4" s="73">
        <f xml:space="preserve"> Time!AF$25</f>
        <v>2013</v>
      </c>
      <c r="AG4" s="73">
        <f xml:space="preserve"> Time!AG$25</f>
        <v>2013</v>
      </c>
      <c r="AH4" s="73">
        <f xml:space="preserve"> Time!AH$25</f>
        <v>2013</v>
      </c>
      <c r="AI4" s="73">
        <f xml:space="preserve"> Time!AI$25</f>
        <v>2013</v>
      </c>
      <c r="AJ4" s="73">
        <f xml:space="preserve"> Time!AJ$25</f>
        <v>2014</v>
      </c>
      <c r="AK4" s="73">
        <f xml:space="preserve"> Time!AK$25</f>
        <v>2014</v>
      </c>
      <c r="AL4" s="73">
        <f xml:space="preserve"> Time!AL$25</f>
        <v>2014</v>
      </c>
      <c r="AM4" s="73">
        <f xml:space="preserve"> Time!AM$25</f>
        <v>2014</v>
      </c>
      <c r="AN4" s="73">
        <f xml:space="preserve"> Time!AN$25</f>
        <v>2014</v>
      </c>
      <c r="AO4" s="73">
        <f xml:space="preserve"> Time!AO$25</f>
        <v>2014</v>
      </c>
      <c r="AP4" s="73">
        <f xml:space="preserve"> Time!AP$25</f>
        <v>2014</v>
      </c>
      <c r="AQ4" s="73">
        <f xml:space="preserve"> Time!AQ$25</f>
        <v>2014</v>
      </c>
      <c r="AR4" s="73">
        <f xml:space="preserve"> Time!AR$25</f>
        <v>2014</v>
      </c>
      <c r="AS4" s="73">
        <f xml:space="preserve"> Time!AS$25</f>
        <v>2014</v>
      </c>
      <c r="AT4" s="73">
        <f xml:space="preserve"> Time!AT$25</f>
        <v>2014</v>
      </c>
      <c r="AU4" s="73">
        <f xml:space="preserve"> Time!AU$25</f>
        <v>2014</v>
      </c>
      <c r="AV4" s="73">
        <f xml:space="preserve"> Time!AV$25</f>
        <v>2015</v>
      </c>
      <c r="AW4" s="73">
        <f xml:space="preserve"> Time!AW$25</f>
        <v>2015</v>
      </c>
      <c r="AX4" s="73">
        <f xml:space="preserve"> Time!AX$25</f>
        <v>2015</v>
      </c>
      <c r="AY4" s="73">
        <f xml:space="preserve"> Time!AY$25</f>
        <v>2015</v>
      </c>
      <c r="AZ4" s="73">
        <f xml:space="preserve"> Time!AZ$25</f>
        <v>2015</v>
      </c>
      <c r="BA4" s="73">
        <f xml:space="preserve"> Time!BA$25</f>
        <v>2015</v>
      </c>
      <c r="BB4" s="73">
        <f xml:space="preserve"> Time!BB$25</f>
        <v>2015</v>
      </c>
      <c r="BC4" s="73">
        <f xml:space="preserve"> Time!BC$25</f>
        <v>2015</v>
      </c>
      <c r="BD4" s="73">
        <f xml:space="preserve"> Time!BD$25</f>
        <v>2015</v>
      </c>
      <c r="BE4" s="73">
        <f xml:space="preserve"> Time!BE$25</f>
        <v>2015</v>
      </c>
      <c r="BF4" s="73">
        <f xml:space="preserve"> Time!BF$25</f>
        <v>2015</v>
      </c>
      <c r="BG4" s="73">
        <f xml:space="preserve"> Time!BG$25</f>
        <v>2015</v>
      </c>
      <c r="BH4" s="73">
        <f xml:space="preserve"> Time!BH$25</f>
        <v>2016</v>
      </c>
      <c r="BI4" s="73">
        <f xml:space="preserve"> Time!BI$25</f>
        <v>2016</v>
      </c>
      <c r="BJ4" s="73">
        <f xml:space="preserve"> Time!BJ$25</f>
        <v>2016</v>
      </c>
      <c r="BK4" s="73">
        <f xml:space="preserve"> Time!BK$25</f>
        <v>2016</v>
      </c>
      <c r="BL4" s="73">
        <f xml:space="preserve"> Time!BL$25</f>
        <v>2016</v>
      </c>
      <c r="BM4" s="73">
        <f xml:space="preserve"> Time!BM$25</f>
        <v>2016</v>
      </c>
      <c r="BN4" s="73">
        <f xml:space="preserve"> Time!BN$25</f>
        <v>2016</v>
      </c>
      <c r="BO4" s="73">
        <f xml:space="preserve"> Time!BO$25</f>
        <v>2016</v>
      </c>
      <c r="BP4" s="73">
        <f xml:space="preserve"> Time!BP$25</f>
        <v>2016</v>
      </c>
      <c r="BQ4" s="73">
        <f xml:space="preserve"> Time!BQ$25</f>
        <v>2016</v>
      </c>
      <c r="BR4" s="73">
        <f xml:space="preserve"> Time!BR$25</f>
        <v>2016</v>
      </c>
      <c r="BS4" s="73">
        <f xml:space="preserve"> Time!BS$25</f>
        <v>2016</v>
      </c>
      <c r="BT4" s="73">
        <f xml:space="preserve"> Time!BT$25</f>
        <v>2017</v>
      </c>
      <c r="BU4" s="73">
        <f xml:space="preserve"> Time!BU$25</f>
        <v>2017</v>
      </c>
      <c r="BV4" s="73">
        <f xml:space="preserve"> Time!BV$25</f>
        <v>2017</v>
      </c>
      <c r="BW4" s="73">
        <f xml:space="preserve"> Time!BW$25</f>
        <v>2017</v>
      </c>
      <c r="BX4" s="73">
        <f xml:space="preserve"> Time!BX$25</f>
        <v>2017</v>
      </c>
      <c r="BY4" s="73">
        <f xml:space="preserve"> Time!BY$25</f>
        <v>2017</v>
      </c>
    </row>
    <row r="5" spans="1:77" s="7" customFormat="1" x14ac:dyDescent="0.2">
      <c r="A5" s="10"/>
      <c r="B5" s="5"/>
      <c r="C5" s="72"/>
      <c r="D5" s="6"/>
      <c r="E5" s="7" t="str">
        <f xml:space="preserve"> Time!E$9</f>
        <v>Model column counter</v>
      </c>
      <c r="F5" s="102" t="s">
        <v>62</v>
      </c>
      <c r="G5" s="10" t="s">
        <v>63</v>
      </c>
      <c r="H5" s="102" t="s">
        <v>64</v>
      </c>
      <c r="J5" s="7">
        <f xml:space="preserve"> Time!J$9</f>
        <v>1</v>
      </c>
      <c r="K5" s="7">
        <f xml:space="preserve"> Time!K$9</f>
        <v>2</v>
      </c>
      <c r="L5" s="7">
        <f xml:space="preserve"> Time!L$9</f>
        <v>3</v>
      </c>
      <c r="M5" s="7">
        <f xml:space="preserve"> Time!M$9</f>
        <v>4</v>
      </c>
      <c r="N5" s="7">
        <f xml:space="preserve"> Time!N$9</f>
        <v>5</v>
      </c>
      <c r="O5" s="7">
        <f xml:space="preserve"> Time!O$9</f>
        <v>6</v>
      </c>
      <c r="P5" s="7">
        <f xml:space="preserve"> Time!P$9</f>
        <v>7</v>
      </c>
      <c r="Q5" s="7">
        <f xml:space="preserve"> Time!Q$9</f>
        <v>8</v>
      </c>
      <c r="R5" s="7">
        <f xml:space="preserve"> Time!R$9</f>
        <v>9</v>
      </c>
      <c r="S5" s="7">
        <f xml:space="preserve"> Time!S$9</f>
        <v>10</v>
      </c>
      <c r="T5" s="7">
        <f xml:space="preserve"> Time!T$9</f>
        <v>11</v>
      </c>
      <c r="U5" s="7">
        <f xml:space="preserve"> Time!U$9</f>
        <v>12</v>
      </c>
      <c r="V5" s="7">
        <f xml:space="preserve"> Time!V$9</f>
        <v>13</v>
      </c>
      <c r="W5" s="7">
        <f xml:space="preserve"> Time!W$9</f>
        <v>14</v>
      </c>
      <c r="X5" s="7">
        <f xml:space="preserve"> Time!X$9</f>
        <v>15</v>
      </c>
      <c r="Y5" s="7">
        <f xml:space="preserve"> Time!Y$9</f>
        <v>16</v>
      </c>
      <c r="Z5" s="7">
        <f xml:space="preserve"> Time!Z$9</f>
        <v>17</v>
      </c>
      <c r="AA5" s="7">
        <f xml:space="preserve"> Time!AA$9</f>
        <v>18</v>
      </c>
      <c r="AB5" s="7">
        <f xml:space="preserve"> Time!AB$9</f>
        <v>19</v>
      </c>
      <c r="AC5" s="7">
        <f xml:space="preserve"> Time!AC$9</f>
        <v>20</v>
      </c>
      <c r="AD5" s="7">
        <f xml:space="preserve"> Time!AD$9</f>
        <v>21</v>
      </c>
      <c r="AE5" s="7">
        <f xml:space="preserve"> Time!AE$9</f>
        <v>22</v>
      </c>
      <c r="AF5" s="7">
        <f xml:space="preserve"> Time!AF$9</f>
        <v>23</v>
      </c>
      <c r="AG5" s="7">
        <f xml:space="preserve"> Time!AG$9</f>
        <v>24</v>
      </c>
      <c r="AH5" s="7">
        <f xml:space="preserve"> Time!AH$9</f>
        <v>25</v>
      </c>
      <c r="AI5" s="7">
        <f xml:space="preserve"> Time!AI$9</f>
        <v>26</v>
      </c>
      <c r="AJ5" s="7">
        <f xml:space="preserve"> Time!AJ$9</f>
        <v>27</v>
      </c>
      <c r="AK5" s="7">
        <f xml:space="preserve"> Time!AK$9</f>
        <v>28</v>
      </c>
      <c r="AL5" s="7">
        <f xml:space="preserve"> Time!AL$9</f>
        <v>29</v>
      </c>
      <c r="AM5" s="7">
        <f xml:space="preserve"> Time!AM$9</f>
        <v>30</v>
      </c>
      <c r="AN5" s="7">
        <f xml:space="preserve"> Time!AN$9</f>
        <v>31</v>
      </c>
      <c r="AO5" s="7">
        <f xml:space="preserve"> Time!AO$9</f>
        <v>32</v>
      </c>
      <c r="AP5" s="7">
        <f xml:space="preserve"> Time!AP$9</f>
        <v>33</v>
      </c>
      <c r="AQ5" s="7">
        <f xml:space="preserve"> Time!AQ$9</f>
        <v>34</v>
      </c>
      <c r="AR5" s="7">
        <f xml:space="preserve"> Time!AR$9</f>
        <v>35</v>
      </c>
      <c r="AS5" s="7">
        <f xml:space="preserve"> Time!AS$9</f>
        <v>36</v>
      </c>
      <c r="AT5" s="7">
        <f xml:space="preserve"> Time!AT$9</f>
        <v>37</v>
      </c>
      <c r="AU5" s="7">
        <f xml:space="preserve"> Time!AU$9</f>
        <v>38</v>
      </c>
      <c r="AV5" s="7">
        <f xml:space="preserve"> Time!AV$9</f>
        <v>39</v>
      </c>
      <c r="AW5" s="7">
        <f xml:space="preserve"> Time!AW$9</f>
        <v>40</v>
      </c>
      <c r="AX5" s="7">
        <f xml:space="preserve"> Time!AX$9</f>
        <v>41</v>
      </c>
      <c r="AY5" s="7">
        <f xml:space="preserve"> Time!AY$9</f>
        <v>42</v>
      </c>
      <c r="AZ5" s="7">
        <f xml:space="preserve"> Time!AZ$9</f>
        <v>43</v>
      </c>
      <c r="BA5" s="7">
        <f xml:space="preserve"> Time!BA$9</f>
        <v>44</v>
      </c>
      <c r="BB5" s="7">
        <f xml:space="preserve"> Time!BB$9</f>
        <v>45</v>
      </c>
      <c r="BC5" s="7">
        <f xml:space="preserve"> Time!BC$9</f>
        <v>46</v>
      </c>
      <c r="BD5" s="7">
        <f xml:space="preserve"> Time!BD$9</f>
        <v>47</v>
      </c>
      <c r="BE5" s="7">
        <f xml:space="preserve"> Time!BE$9</f>
        <v>48</v>
      </c>
      <c r="BF5" s="7">
        <f xml:space="preserve"> Time!BF$9</f>
        <v>49</v>
      </c>
      <c r="BG5" s="7">
        <f xml:space="preserve"> Time!BG$9</f>
        <v>50</v>
      </c>
      <c r="BH5" s="7">
        <f xml:space="preserve"> Time!BH$9</f>
        <v>51</v>
      </c>
      <c r="BI5" s="7">
        <f xml:space="preserve"> Time!BI$9</f>
        <v>52</v>
      </c>
      <c r="BJ5" s="7">
        <f xml:space="preserve"> Time!BJ$9</f>
        <v>53</v>
      </c>
      <c r="BK5" s="7">
        <f xml:space="preserve"> Time!BK$9</f>
        <v>54</v>
      </c>
      <c r="BL5" s="7">
        <f xml:space="preserve"> Time!BL$9</f>
        <v>55</v>
      </c>
      <c r="BM5" s="7">
        <f xml:space="preserve"> Time!BM$9</f>
        <v>56</v>
      </c>
      <c r="BN5" s="7">
        <f xml:space="preserve"> Time!BN$9</f>
        <v>57</v>
      </c>
      <c r="BO5" s="7">
        <f xml:space="preserve"> Time!BO$9</f>
        <v>58</v>
      </c>
      <c r="BP5" s="7">
        <f xml:space="preserve"> Time!BP$9</f>
        <v>59</v>
      </c>
      <c r="BQ5" s="7">
        <f xml:space="preserve"> Time!BQ$9</f>
        <v>60</v>
      </c>
      <c r="BR5" s="7">
        <f xml:space="preserve"> Time!BR$9</f>
        <v>61</v>
      </c>
      <c r="BS5" s="7">
        <f xml:space="preserve"> Time!BS$9</f>
        <v>62</v>
      </c>
      <c r="BT5" s="7">
        <f xml:space="preserve"> Time!BT$9</f>
        <v>63</v>
      </c>
      <c r="BU5" s="7">
        <f xml:space="preserve"> Time!BU$9</f>
        <v>64</v>
      </c>
      <c r="BV5" s="7">
        <f xml:space="preserve"> Time!BV$9</f>
        <v>65</v>
      </c>
      <c r="BW5" s="7">
        <f xml:space="preserve"> Time!BW$9</f>
        <v>66</v>
      </c>
      <c r="BX5" s="7">
        <f xml:space="preserve"> Time!BX$9</f>
        <v>67</v>
      </c>
      <c r="BY5" s="7">
        <f xml:space="preserve"> Time!BY$9</f>
        <v>68</v>
      </c>
    </row>
    <row r="6" spans="1:77" s="7" customFormat="1" x14ac:dyDescent="0.2">
      <c r="A6" s="10"/>
      <c r="B6" s="5"/>
      <c r="C6" s="72"/>
      <c r="D6" s="6"/>
      <c r="F6" s="10"/>
      <c r="G6" s="10"/>
      <c r="H6" s="10"/>
    </row>
    <row r="7" spans="1:77" x14ac:dyDescent="0.2">
      <c r="A7" s="10" t="s">
        <v>18</v>
      </c>
    </row>
    <row r="9" spans="1:77" s="44" customFormat="1" x14ac:dyDescent="0.2">
      <c r="A9" s="33"/>
      <c r="B9" s="33"/>
      <c r="C9" s="34"/>
      <c r="D9" s="41"/>
      <c r="E9" s="42" t="s">
        <v>14</v>
      </c>
      <c r="F9" s="42">
        <v>0</v>
      </c>
      <c r="G9" s="43" t="s">
        <v>10</v>
      </c>
    </row>
    <row r="10" spans="1:77" s="11" customFormat="1" x14ac:dyDescent="0.2">
      <c r="A10" s="25"/>
      <c r="B10" s="25"/>
      <c r="C10" s="26"/>
      <c r="D10" s="47"/>
      <c r="E10" s="11" t="str">
        <f>Time!E$33</f>
        <v>Acquisition / initial balance date flag</v>
      </c>
      <c r="F10" s="11">
        <f>Time!F$33</f>
        <v>0</v>
      </c>
      <c r="G10" s="11" t="str">
        <f>Time!G$33</f>
        <v>flag</v>
      </c>
      <c r="H10" s="11">
        <f>Time!H$33</f>
        <v>1</v>
      </c>
      <c r="I10" s="11">
        <f>Time!I$33</f>
        <v>0</v>
      </c>
      <c r="J10" s="11">
        <f>Time!J$33</f>
        <v>1</v>
      </c>
      <c r="K10" s="11">
        <f>Time!K$33</f>
        <v>0</v>
      </c>
      <c r="L10" s="11">
        <f>Time!L$33</f>
        <v>0</v>
      </c>
      <c r="M10" s="11">
        <f>Time!M$33</f>
        <v>0</v>
      </c>
      <c r="N10" s="11">
        <f>Time!N$33</f>
        <v>0</v>
      </c>
      <c r="O10" s="11">
        <f>Time!O$33</f>
        <v>0</v>
      </c>
      <c r="P10" s="11">
        <f>Time!P$33</f>
        <v>0</v>
      </c>
      <c r="Q10" s="11">
        <f>Time!Q$33</f>
        <v>0</v>
      </c>
      <c r="R10" s="11">
        <f>Time!R$33</f>
        <v>0</v>
      </c>
      <c r="S10" s="11">
        <f>Time!S$33</f>
        <v>0</v>
      </c>
      <c r="T10" s="11">
        <f>Time!T$33</f>
        <v>0</v>
      </c>
      <c r="U10" s="11">
        <f>Time!U$33</f>
        <v>0</v>
      </c>
      <c r="V10" s="11">
        <f>Time!V$33</f>
        <v>0</v>
      </c>
      <c r="W10" s="11">
        <f>Time!W$33</f>
        <v>0</v>
      </c>
      <c r="X10" s="11">
        <f>Time!X$33</f>
        <v>0</v>
      </c>
      <c r="Y10" s="11">
        <f>Time!Y$33</f>
        <v>0</v>
      </c>
      <c r="Z10" s="11">
        <f>Time!Z$33</f>
        <v>0</v>
      </c>
      <c r="AA10" s="11">
        <f>Time!AA$33</f>
        <v>0</v>
      </c>
      <c r="AB10" s="11">
        <f>Time!AB$33</f>
        <v>0</v>
      </c>
      <c r="AC10" s="11">
        <f>Time!AC$33</f>
        <v>0</v>
      </c>
      <c r="AD10" s="11">
        <f>Time!AD$33</f>
        <v>0</v>
      </c>
      <c r="AE10" s="11">
        <f>Time!AE$33</f>
        <v>0</v>
      </c>
      <c r="AF10" s="11">
        <f>Time!AF$33</f>
        <v>0</v>
      </c>
      <c r="AG10" s="11">
        <f>Time!AG$33</f>
        <v>0</v>
      </c>
      <c r="AH10" s="11">
        <f>Time!AH$33</f>
        <v>0</v>
      </c>
      <c r="AI10" s="11">
        <f>Time!AI$33</f>
        <v>0</v>
      </c>
      <c r="AJ10" s="11">
        <f>Time!AJ$33</f>
        <v>0</v>
      </c>
      <c r="AK10" s="11">
        <f>Time!AK$33</f>
        <v>0</v>
      </c>
      <c r="AL10" s="11">
        <f>Time!AL$33</f>
        <v>0</v>
      </c>
      <c r="AM10" s="11">
        <f>Time!AM$33</f>
        <v>0</v>
      </c>
      <c r="AN10" s="11">
        <f>Time!AN$33</f>
        <v>0</v>
      </c>
      <c r="AO10" s="11">
        <f>Time!AO$33</f>
        <v>0</v>
      </c>
      <c r="AP10" s="11">
        <f>Time!AP$33</f>
        <v>0</v>
      </c>
      <c r="AQ10" s="11">
        <f>Time!AQ$33</f>
        <v>0</v>
      </c>
      <c r="AR10" s="11">
        <f>Time!AR$33</f>
        <v>0</v>
      </c>
      <c r="AS10" s="11">
        <f>Time!AS$33</f>
        <v>0</v>
      </c>
      <c r="AT10" s="11">
        <f>Time!AT$33</f>
        <v>0</v>
      </c>
      <c r="AU10" s="11">
        <f>Time!AU$33</f>
        <v>0</v>
      </c>
      <c r="AV10" s="11">
        <f>Time!AV$33</f>
        <v>0</v>
      </c>
      <c r="AW10" s="11">
        <f>Time!AW$33</f>
        <v>0</v>
      </c>
      <c r="AX10" s="11">
        <f>Time!AX$33</f>
        <v>0</v>
      </c>
      <c r="AY10" s="11">
        <f>Time!AY$33</f>
        <v>0</v>
      </c>
      <c r="AZ10" s="11">
        <f>Time!AZ$33</f>
        <v>0</v>
      </c>
      <c r="BA10" s="11">
        <f>Time!BA$33</f>
        <v>0</v>
      </c>
      <c r="BB10" s="11">
        <f>Time!BB$33</f>
        <v>0</v>
      </c>
      <c r="BC10" s="11">
        <f>Time!BC$33</f>
        <v>0</v>
      </c>
      <c r="BD10" s="11">
        <f>Time!BD$33</f>
        <v>0</v>
      </c>
      <c r="BE10" s="11">
        <f>Time!BE$33</f>
        <v>0</v>
      </c>
      <c r="BF10" s="11">
        <f>Time!BF$33</f>
        <v>0</v>
      </c>
      <c r="BG10" s="11">
        <f>Time!BG$33</f>
        <v>0</v>
      </c>
      <c r="BH10" s="11">
        <f>Time!BH$33</f>
        <v>0</v>
      </c>
      <c r="BI10" s="11">
        <f>Time!BI$33</f>
        <v>0</v>
      </c>
      <c r="BJ10" s="11">
        <f>Time!BJ$33</f>
        <v>0</v>
      </c>
      <c r="BK10" s="11">
        <f>Time!BK$33</f>
        <v>0</v>
      </c>
      <c r="BL10" s="11">
        <f>Time!BL$33</f>
        <v>0</v>
      </c>
      <c r="BM10" s="11">
        <f>Time!BM$33</f>
        <v>0</v>
      </c>
      <c r="BN10" s="11">
        <f>Time!BN$33</f>
        <v>0</v>
      </c>
      <c r="BO10" s="11">
        <f>Time!BO$33</f>
        <v>0</v>
      </c>
      <c r="BP10" s="11">
        <f>Time!BP$33</f>
        <v>0</v>
      </c>
      <c r="BQ10" s="11">
        <f>Time!BQ$33</f>
        <v>0</v>
      </c>
      <c r="BR10" s="11">
        <f>Time!BR$33</f>
        <v>0</v>
      </c>
      <c r="BS10" s="11">
        <f>Time!BS$33</f>
        <v>0</v>
      </c>
      <c r="BT10" s="11">
        <f>Time!BT$33</f>
        <v>0</v>
      </c>
      <c r="BU10" s="11">
        <f>Time!BU$33</f>
        <v>0</v>
      </c>
      <c r="BV10" s="11">
        <f>Time!BV$33</f>
        <v>0</v>
      </c>
      <c r="BW10" s="11">
        <f>Time!BW$33</f>
        <v>0</v>
      </c>
      <c r="BX10" s="11">
        <f>Time!BX$33</f>
        <v>0</v>
      </c>
      <c r="BY10" s="11">
        <f>Time!BY$33</f>
        <v>0</v>
      </c>
    </row>
    <row r="11" spans="1:77" s="35" customFormat="1" x14ac:dyDescent="0.2">
      <c r="A11" s="8"/>
      <c r="B11" s="8"/>
      <c r="C11" s="9"/>
      <c r="D11" s="40"/>
    </row>
    <row r="12" spans="1:77" s="35" customFormat="1" x14ac:dyDescent="0.2">
      <c r="A12" s="8"/>
      <c r="B12" s="8"/>
      <c r="C12" s="9"/>
      <c r="D12" s="40"/>
      <c r="E12" s="45" t="s">
        <v>8</v>
      </c>
      <c r="G12" s="37"/>
      <c r="J12" s="35">
        <f t="shared" ref="J12:BU12" si="0" xml:space="preserve"> I15</f>
        <v>0</v>
      </c>
      <c r="K12" s="35">
        <f t="shared" si="0"/>
        <v>0</v>
      </c>
      <c r="L12" s="35">
        <f t="shared" si="0"/>
        <v>0</v>
      </c>
      <c r="M12" s="35">
        <f t="shared" si="0"/>
        <v>0</v>
      </c>
      <c r="N12" s="35">
        <f t="shared" si="0"/>
        <v>0</v>
      </c>
      <c r="O12" s="35">
        <f t="shared" si="0"/>
        <v>0</v>
      </c>
      <c r="P12" s="35">
        <f t="shared" si="0"/>
        <v>0</v>
      </c>
      <c r="Q12" s="35">
        <f t="shared" si="0"/>
        <v>0</v>
      </c>
      <c r="R12" s="35">
        <f t="shared" si="0"/>
        <v>0</v>
      </c>
      <c r="S12" s="35">
        <f t="shared" si="0"/>
        <v>0</v>
      </c>
      <c r="T12" s="35">
        <f t="shared" si="0"/>
        <v>0</v>
      </c>
      <c r="U12" s="35">
        <f t="shared" si="0"/>
        <v>0</v>
      </c>
      <c r="V12" s="35">
        <f t="shared" si="0"/>
        <v>0</v>
      </c>
      <c r="W12" s="35">
        <f t="shared" si="0"/>
        <v>0</v>
      </c>
      <c r="X12" s="35">
        <f t="shared" si="0"/>
        <v>0</v>
      </c>
      <c r="Y12" s="35">
        <f t="shared" si="0"/>
        <v>0</v>
      </c>
      <c r="Z12" s="35">
        <f t="shared" si="0"/>
        <v>0</v>
      </c>
      <c r="AA12" s="35">
        <f t="shared" si="0"/>
        <v>0</v>
      </c>
      <c r="AB12" s="35">
        <f t="shared" si="0"/>
        <v>0</v>
      </c>
      <c r="AC12" s="35">
        <f t="shared" si="0"/>
        <v>0</v>
      </c>
      <c r="AD12" s="35">
        <f t="shared" si="0"/>
        <v>0</v>
      </c>
      <c r="AE12" s="35">
        <f t="shared" si="0"/>
        <v>0</v>
      </c>
      <c r="AF12" s="35">
        <f t="shared" si="0"/>
        <v>0</v>
      </c>
      <c r="AG12" s="35">
        <f t="shared" si="0"/>
        <v>0</v>
      </c>
      <c r="AH12" s="35">
        <f t="shared" si="0"/>
        <v>0</v>
      </c>
      <c r="AI12" s="35">
        <f t="shared" si="0"/>
        <v>0</v>
      </c>
      <c r="AJ12" s="35">
        <f t="shared" si="0"/>
        <v>0</v>
      </c>
      <c r="AK12" s="35">
        <f t="shared" si="0"/>
        <v>0</v>
      </c>
      <c r="AL12" s="35">
        <f t="shared" si="0"/>
        <v>0</v>
      </c>
      <c r="AM12" s="35">
        <f t="shared" si="0"/>
        <v>0</v>
      </c>
      <c r="AN12" s="35">
        <f t="shared" si="0"/>
        <v>0</v>
      </c>
      <c r="AO12" s="35">
        <f t="shared" si="0"/>
        <v>0</v>
      </c>
      <c r="AP12" s="35">
        <f t="shared" si="0"/>
        <v>0</v>
      </c>
      <c r="AQ12" s="35">
        <f t="shared" si="0"/>
        <v>0</v>
      </c>
      <c r="AR12" s="35">
        <f t="shared" si="0"/>
        <v>0</v>
      </c>
      <c r="AS12" s="35">
        <f t="shared" si="0"/>
        <v>0</v>
      </c>
      <c r="AT12" s="35">
        <f t="shared" si="0"/>
        <v>0</v>
      </c>
      <c r="AU12" s="35">
        <f t="shared" si="0"/>
        <v>0</v>
      </c>
      <c r="AV12" s="35">
        <f t="shared" si="0"/>
        <v>0</v>
      </c>
      <c r="AW12" s="35">
        <f t="shared" si="0"/>
        <v>0</v>
      </c>
      <c r="AX12" s="35">
        <f t="shared" si="0"/>
        <v>0</v>
      </c>
      <c r="AY12" s="35">
        <f t="shared" si="0"/>
        <v>0</v>
      </c>
      <c r="AZ12" s="35">
        <f t="shared" si="0"/>
        <v>0</v>
      </c>
      <c r="BA12" s="35">
        <f t="shared" si="0"/>
        <v>0</v>
      </c>
      <c r="BB12" s="35">
        <f t="shared" si="0"/>
        <v>0</v>
      </c>
      <c r="BC12" s="35">
        <f t="shared" si="0"/>
        <v>0</v>
      </c>
      <c r="BD12" s="35">
        <f t="shared" si="0"/>
        <v>0</v>
      </c>
      <c r="BE12" s="35">
        <f t="shared" si="0"/>
        <v>0</v>
      </c>
      <c r="BF12" s="35">
        <f t="shared" si="0"/>
        <v>0</v>
      </c>
      <c r="BG12" s="35">
        <f t="shared" si="0"/>
        <v>0</v>
      </c>
      <c r="BH12" s="35">
        <f t="shared" si="0"/>
        <v>0</v>
      </c>
      <c r="BI12" s="35">
        <f t="shared" si="0"/>
        <v>0</v>
      </c>
      <c r="BJ12" s="35">
        <f t="shared" si="0"/>
        <v>0</v>
      </c>
      <c r="BK12" s="35">
        <f t="shared" si="0"/>
        <v>0</v>
      </c>
      <c r="BL12" s="35">
        <f t="shared" si="0"/>
        <v>0</v>
      </c>
      <c r="BM12" s="35">
        <f t="shared" si="0"/>
        <v>0</v>
      </c>
      <c r="BN12" s="35">
        <f t="shared" si="0"/>
        <v>0</v>
      </c>
      <c r="BO12" s="35">
        <f t="shared" si="0"/>
        <v>0</v>
      </c>
      <c r="BP12" s="35">
        <f t="shared" si="0"/>
        <v>0</v>
      </c>
      <c r="BQ12" s="35">
        <f t="shared" si="0"/>
        <v>0</v>
      </c>
      <c r="BR12" s="35">
        <f t="shared" si="0"/>
        <v>0</v>
      </c>
      <c r="BS12" s="35">
        <f t="shared" si="0"/>
        <v>0</v>
      </c>
      <c r="BT12" s="35">
        <f t="shared" si="0"/>
        <v>0</v>
      </c>
      <c r="BU12" s="35">
        <f t="shared" si="0"/>
        <v>0</v>
      </c>
      <c r="BV12" s="35">
        <f xml:space="preserve"> BU15</f>
        <v>0</v>
      </c>
      <c r="BW12" s="35">
        <f xml:space="preserve"> BV15</f>
        <v>0</v>
      </c>
      <c r="BX12" s="35">
        <f xml:space="preserve"> BW15</f>
        <v>0</v>
      </c>
      <c r="BY12" s="35">
        <f xml:space="preserve"> BX15</f>
        <v>0</v>
      </c>
    </row>
    <row r="13" spans="1:77" s="45" customFormat="1" x14ac:dyDescent="0.2">
      <c r="A13" s="31"/>
      <c r="B13" s="31"/>
      <c r="C13" s="32"/>
      <c r="D13" s="46" t="s">
        <v>77</v>
      </c>
      <c r="E13" s="45" t="s">
        <v>0</v>
      </c>
    </row>
    <row r="14" spans="1:77" s="45" customFormat="1" x14ac:dyDescent="0.2">
      <c r="A14" s="31"/>
      <c r="B14" s="31"/>
      <c r="C14" s="32"/>
      <c r="D14" s="46" t="s">
        <v>78</v>
      </c>
      <c r="E14" s="45" t="s">
        <v>1</v>
      </c>
    </row>
    <row r="15" spans="1:77" s="4" customFormat="1" x14ac:dyDescent="0.2">
      <c r="A15" s="86"/>
      <c r="B15" s="86"/>
      <c r="C15" s="87"/>
      <c r="D15" s="88"/>
      <c r="E15" s="91" t="s">
        <v>15</v>
      </c>
      <c r="G15" s="89"/>
      <c r="I15" s="90"/>
      <c r="J15" s="4">
        <f xml:space="preserve"> IF(J10 = 1, $F9, J12 + J13 - J14)</f>
        <v>0</v>
      </c>
      <c r="K15" s="4">
        <f t="shared" ref="K15:BV15" si="1" xml:space="preserve"> IF(K10 = 1, $F9, K12 + K13 - K14)</f>
        <v>0</v>
      </c>
      <c r="L15" s="4">
        <f t="shared" si="1"/>
        <v>0</v>
      </c>
      <c r="M15" s="4">
        <f t="shared" si="1"/>
        <v>0</v>
      </c>
      <c r="N15" s="4">
        <f t="shared" si="1"/>
        <v>0</v>
      </c>
      <c r="O15" s="4">
        <f t="shared" si="1"/>
        <v>0</v>
      </c>
      <c r="P15" s="4">
        <f t="shared" si="1"/>
        <v>0</v>
      </c>
      <c r="Q15" s="4">
        <f t="shared" si="1"/>
        <v>0</v>
      </c>
      <c r="R15" s="4">
        <f t="shared" si="1"/>
        <v>0</v>
      </c>
      <c r="S15" s="4">
        <f t="shared" si="1"/>
        <v>0</v>
      </c>
      <c r="T15" s="4">
        <f t="shared" si="1"/>
        <v>0</v>
      </c>
      <c r="U15" s="4">
        <f t="shared" si="1"/>
        <v>0</v>
      </c>
      <c r="V15" s="4">
        <f t="shared" si="1"/>
        <v>0</v>
      </c>
      <c r="W15" s="4">
        <f t="shared" si="1"/>
        <v>0</v>
      </c>
      <c r="X15" s="4">
        <f t="shared" si="1"/>
        <v>0</v>
      </c>
      <c r="Y15" s="4">
        <f t="shared" si="1"/>
        <v>0</v>
      </c>
      <c r="Z15" s="4">
        <f t="shared" si="1"/>
        <v>0</v>
      </c>
      <c r="AA15" s="4">
        <f t="shared" si="1"/>
        <v>0</v>
      </c>
      <c r="AB15" s="4">
        <f t="shared" si="1"/>
        <v>0</v>
      </c>
      <c r="AC15" s="4">
        <f t="shared" si="1"/>
        <v>0</v>
      </c>
      <c r="AD15" s="4">
        <f t="shared" si="1"/>
        <v>0</v>
      </c>
      <c r="AE15" s="4">
        <f t="shared" si="1"/>
        <v>0</v>
      </c>
      <c r="AF15" s="4">
        <f t="shared" si="1"/>
        <v>0</v>
      </c>
      <c r="AG15" s="4">
        <f t="shared" si="1"/>
        <v>0</v>
      </c>
      <c r="AH15" s="4">
        <f t="shared" si="1"/>
        <v>0</v>
      </c>
      <c r="AI15" s="4">
        <f t="shared" si="1"/>
        <v>0</v>
      </c>
      <c r="AJ15" s="4">
        <f t="shared" si="1"/>
        <v>0</v>
      </c>
      <c r="AK15" s="4">
        <f t="shared" si="1"/>
        <v>0</v>
      </c>
      <c r="AL15" s="4">
        <f t="shared" si="1"/>
        <v>0</v>
      </c>
      <c r="AM15" s="4">
        <f t="shared" si="1"/>
        <v>0</v>
      </c>
      <c r="AN15" s="4">
        <f t="shared" si="1"/>
        <v>0</v>
      </c>
      <c r="AO15" s="4">
        <f t="shared" si="1"/>
        <v>0</v>
      </c>
      <c r="AP15" s="4">
        <f t="shared" si="1"/>
        <v>0</v>
      </c>
      <c r="AQ15" s="4">
        <f t="shared" si="1"/>
        <v>0</v>
      </c>
      <c r="AR15" s="4">
        <f t="shared" si="1"/>
        <v>0</v>
      </c>
      <c r="AS15" s="4">
        <f t="shared" si="1"/>
        <v>0</v>
      </c>
      <c r="AT15" s="4">
        <f t="shared" si="1"/>
        <v>0</v>
      </c>
      <c r="AU15" s="4">
        <f t="shared" si="1"/>
        <v>0</v>
      </c>
      <c r="AV15" s="4">
        <f t="shared" si="1"/>
        <v>0</v>
      </c>
      <c r="AW15" s="4">
        <f t="shared" si="1"/>
        <v>0</v>
      </c>
      <c r="AX15" s="4">
        <f t="shared" si="1"/>
        <v>0</v>
      </c>
      <c r="AY15" s="4">
        <f t="shared" si="1"/>
        <v>0</v>
      </c>
      <c r="AZ15" s="4">
        <f t="shared" si="1"/>
        <v>0</v>
      </c>
      <c r="BA15" s="4">
        <f t="shared" si="1"/>
        <v>0</v>
      </c>
      <c r="BB15" s="4">
        <f t="shared" si="1"/>
        <v>0</v>
      </c>
      <c r="BC15" s="4">
        <f t="shared" si="1"/>
        <v>0</v>
      </c>
      <c r="BD15" s="4">
        <f t="shared" si="1"/>
        <v>0</v>
      </c>
      <c r="BE15" s="4">
        <f t="shared" si="1"/>
        <v>0</v>
      </c>
      <c r="BF15" s="4">
        <f t="shared" si="1"/>
        <v>0</v>
      </c>
      <c r="BG15" s="4">
        <f t="shared" si="1"/>
        <v>0</v>
      </c>
      <c r="BH15" s="4">
        <f t="shared" si="1"/>
        <v>0</v>
      </c>
      <c r="BI15" s="4">
        <f t="shared" si="1"/>
        <v>0</v>
      </c>
      <c r="BJ15" s="4">
        <f t="shared" si="1"/>
        <v>0</v>
      </c>
      <c r="BK15" s="4">
        <f t="shared" si="1"/>
        <v>0</v>
      </c>
      <c r="BL15" s="4">
        <f t="shared" si="1"/>
        <v>0</v>
      </c>
      <c r="BM15" s="4">
        <f t="shared" si="1"/>
        <v>0</v>
      </c>
      <c r="BN15" s="4">
        <f t="shared" si="1"/>
        <v>0</v>
      </c>
      <c r="BO15" s="4">
        <f t="shared" si="1"/>
        <v>0</v>
      </c>
      <c r="BP15" s="4">
        <f t="shared" si="1"/>
        <v>0</v>
      </c>
      <c r="BQ15" s="4">
        <f t="shared" si="1"/>
        <v>0</v>
      </c>
      <c r="BR15" s="4">
        <f t="shared" si="1"/>
        <v>0</v>
      </c>
      <c r="BS15" s="4">
        <f t="shared" si="1"/>
        <v>0</v>
      </c>
      <c r="BT15" s="4">
        <f t="shared" si="1"/>
        <v>0</v>
      </c>
      <c r="BU15" s="4">
        <f t="shared" si="1"/>
        <v>0</v>
      </c>
      <c r="BV15" s="4">
        <f t="shared" si="1"/>
        <v>0</v>
      </c>
      <c r="BW15" s="4">
        <f xml:space="preserve"> IF(BW10 = 1, $F9, BW12 + BW13 - BW14)</f>
        <v>0</v>
      </c>
      <c r="BX15" s="4">
        <f xml:space="preserve"> IF(BX10 = 1, $F9, BX12 + BX13 - BX14)</f>
        <v>0</v>
      </c>
      <c r="BY15" s="4">
        <f xml:space="preserve"> IF(BY10 = 1, $F9, BY12 + BY13 - BY14)</f>
        <v>0</v>
      </c>
    </row>
    <row r="16" spans="1:77" s="35" customFormat="1" x14ac:dyDescent="0.2">
      <c r="A16" s="8"/>
      <c r="B16" s="50"/>
      <c r="C16" s="51"/>
      <c r="D16" s="40"/>
    </row>
    <row r="20" spans="5:6" x14ac:dyDescent="0.2">
      <c r="E20" s="1"/>
    </row>
    <row r="22" spans="5:6" x14ac:dyDescent="0.2">
      <c r="F22" s="3"/>
    </row>
  </sheetData>
  <phoneticPr fontId="2" type="noConversion"/>
  <conditionalFormatting sqref="J3:BY3">
    <cfRule type="cellIs" dxfId="5" priority="5" stopIfTrue="1" operator="equal">
      <formula>"Pre-forecast"</formula>
    </cfRule>
    <cfRule type="cellIs" dxfId="4" priority="6" stopIfTrue="1" operator="equal">
      <formula>"Forecast"</formula>
    </cfRule>
  </conditionalFormatting>
  <conditionalFormatting sqref="F3:F4">
    <cfRule type="cellIs" dxfId="3" priority="1" stopIfTrue="1" operator="notEqual">
      <formula>0</formula>
    </cfRule>
    <cfRule type="cellIs" dxfId="2" priority="2" stopIfTrue="1" operator="equal">
      <formula>""</formula>
    </cfRule>
  </conditionalFormatting>
  <conditionalFormatting sqref="F2">
    <cfRule type="cellIs" dxfId="1" priority="3" stopIfTrue="1" operator="notEqual">
      <formula>0</formula>
    </cfRule>
    <cfRule type="cellIs" dxfId="0" priority="4" stopIfTrue="1" operator="equal">
      <formula>""</formula>
    </cfRule>
  </conditionalFormatting>
  <printOptions verticalCentered="1" headings="1"/>
  <pageMargins left="0.74803149606299213" right="0.74803149606299213" top="0.98425196850393704" bottom="0.98425196850393704" header="0.51181102362204722" footer="0.51181102362204722"/>
  <pageSetup paperSize="9" scale="55" orientation="landscape" blackAndWhite="1" r:id="rId1"/>
  <headerFooter alignWithMargins="0">
    <oddHeader>&amp;L&amp;"Arial,Bold"&amp;14PROJECT BIOMASS&amp;C&amp;"Arial,Bold"&amp;14Sheet: &amp;A&amp;R&amp;"Arial,Bold"&amp;14STRICTLY CONFIDENTIAL</oddHeader>
    <oddFooter>&amp;L&amp;F ( Printed on &amp;D at &amp;T )&amp;RPage &amp;P</oddFooter>
  </headerFooter>
  <customProperties>
    <customPr name="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0"/>
  <sheetViews>
    <sheetView workbookViewId="0"/>
  </sheetViews>
  <sheetFormatPr defaultRowHeight="12.75" x14ac:dyDescent="0.2"/>
  <sheetData>
    <row r="1" spans="1:256" x14ac:dyDescent="0.2">
      <c r="A1" t="s">
        <v>95</v>
      </c>
      <c r="F1" t="e">
        <f ca="1">InpC!A:A*"Ug1!%"</f>
        <v>#VALUE!</v>
      </c>
      <c r="G1" t="e">
        <f ca="1">InpC!B:B*"Ug1!&amp;"</f>
        <v>#VALUE!</v>
      </c>
      <c r="H1" t="e">
        <f ca="1">InpC!C:C*"Ug1!'"</f>
        <v>#VALUE!</v>
      </c>
      <c r="I1" t="e">
        <f ca="1">InpC!D:D*"Ug1!("</f>
        <v>#VALUE!</v>
      </c>
      <c r="J1" t="e">
        <f ca="1">InpC!E:E*"Ug1!)"</f>
        <v>#VALUE!</v>
      </c>
      <c r="K1" t="e">
        <f ca="1">InpC!F:F*"Ug1!."</f>
        <v>#VALUE!</v>
      </c>
      <c r="L1" t="e">
        <f ca="1">InpC!G:G*"Ug1!/"</f>
        <v>#VALUE!</v>
      </c>
      <c r="M1" t="e">
        <f ca="1">InpC!H:H*"Ug1!0"</f>
        <v>#VALUE!</v>
      </c>
      <c r="N1" t="e">
        <f ca="1">InpC!I:I*"Ug1!1"</f>
        <v>#VALUE!</v>
      </c>
      <c r="O1" t="e">
        <f ca="1">InpC!J:J*"Ug1!2"</f>
        <v>#VALUE!</v>
      </c>
      <c r="P1" t="e">
        <f ca="1">InpC!K:K*"Ug1!3"</f>
        <v>#VALUE!</v>
      </c>
      <c r="Q1" t="e">
        <f ca="1">InpC!L:L*"Ug1!4"</f>
        <v>#VALUE!</v>
      </c>
      <c r="R1" t="e">
        <f ca="1">InpC!M:M*"Ug1!5"</f>
        <v>#VALUE!</v>
      </c>
      <c r="S1" t="e">
        <f ca="1">InpC!N:N*"Ug1!6"</f>
        <v>#VALUE!</v>
      </c>
      <c r="T1" t="e">
        <f ca="1">InpC!O:O*"Ug1!7"</f>
        <v>#VALUE!</v>
      </c>
      <c r="U1" t="e">
        <f ca="1">InpC!P:P*"Ug1!8"</f>
        <v>#VALUE!</v>
      </c>
      <c r="V1" t="e">
        <f ca="1">InpC!Q:Q*"Ug1!9"</f>
        <v>#VALUE!</v>
      </c>
      <c r="W1" t="e">
        <f ca="1">InpC!R:R*"Ug1!:"</f>
        <v>#VALUE!</v>
      </c>
      <c r="X1" t="e">
        <f ca="1">InpC!S:S*"Ug1!;"</f>
        <v>#VALUE!</v>
      </c>
      <c r="Y1" t="e">
        <f ca="1">InpC!T:T*"Ug1!&lt;"</f>
        <v>#VALUE!</v>
      </c>
      <c r="Z1" t="e">
        <f ca="1">InpC!U:U*"Ug1!="</f>
        <v>#VALUE!</v>
      </c>
      <c r="AA1" t="e">
        <f ca="1">InpC!V:V*"Ug1!&gt;"</f>
        <v>#VALUE!</v>
      </c>
      <c r="AB1" t="e">
        <f ca="1">InpC!W:W*"Ug1!?"</f>
        <v>#VALUE!</v>
      </c>
      <c r="AC1" t="e">
        <f ca="1">InpC!X:X*"Ug1!@"</f>
        <v>#VALUE!</v>
      </c>
      <c r="AD1" t="e">
        <f ca="1">InpC!Y:Y*"Ug1!A"</f>
        <v>#VALUE!</v>
      </c>
      <c r="AE1" t="e">
        <f ca="1">InpC!Z:Z*"Ug1!B"</f>
        <v>#VALUE!</v>
      </c>
      <c r="AF1" t="e">
        <f ca="1">InpC!AA:AA*"Ug1!C"</f>
        <v>#VALUE!</v>
      </c>
      <c r="AG1" t="e">
        <f ca="1">InpC!AB:AB*"Ug1!D"</f>
        <v>#VALUE!</v>
      </c>
      <c r="AH1" t="e">
        <f ca="1">InpC!AC:AC*"Ug1!E"</f>
        <v>#VALUE!</v>
      </c>
      <c r="AI1" t="e">
        <f ca="1">InpC!AD:AD*"Ug1!F"</f>
        <v>#VALUE!</v>
      </c>
      <c r="AJ1" t="e">
        <f ca="1">InpC!AE:AE*"Ug1!G"</f>
        <v>#VALUE!</v>
      </c>
      <c r="AK1" t="e">
        <f ca="1">InpC!AF:AF*"Ug1!H"</f>
        <v>#VALUE!</v>
      </c>
      <c r="AL1" t="e">
        <f ca="1">InpC!AG:AG*"Ug1!I"</f>
        <v>#VALUE!</v>
      </c>
      <c r="AM1" t="e">
        <f ca="1">InpC!AH:AH*"Ug1!J"</f>
        <v>#VALUE!</v>
      </c>
      <c r="AN1" t="e">
        <f ca="1">InpC!AI:AI*"Ug1!K"</f>
        <v>#VALUE!</v>
      </c>
      <c r="AO1" t="e">
        <f ca="1">InpC!AJ:AJ*"Ug1!L"</f>
        <v>#VALUE!</v>
      </c>
      <c r="AP1" t="e">
        <f ca="1">InpC!AK:AK*"Ug1!M"</f>
        <v>#VALUE!</v>
      </c>
      <c r="AQ1" t="e">
        <f ca="1">InpC!AL:AL*"Ug1!N"</f>
        <v>#VALUE!</v>
      </c>
      <c r="AR1" t="e">
        <f ca="1">InpC!AM:AM*"Ug1!O"</f>
        <v>#VALUE!</v>
      </c>
      <c r="AS1" t="e">
        <f ca="1">InpC!AN:AN*"Ug1!P"</f>
        <v>#VALUE!</v>
      </c>
      <c r="AT1" t="e">
        <f ca="1">InpC!AO:AO*"Ug1!Q"</f>
        <v>#VALUE!</v>
      </c>
      <c r="AU1" t="e">
        <f ca="1">InpC!AP:AP*"Ug1!R"</f>
        <v>#VALUE!</v>
      </c>
      <c r="AV1" t="e">
        <f ca="1">InpC!AQ:AQ*"Ug1!S"</f>
        <v>#VALUE!</v>
      </c>
      <c r="AW1" t="e">
        <f ca="1">InpC!AR:AR*"Ug1!T"</f>
        <v>#VALUE!</v>
      </c>
      <c r="AX1" t="e">
        <f ca="1">InpC!AS:AS*"Ug1!U"</f>
        <v>#VALUE!</v>
      </c>
      <c r="AY1" t="e">
        <f ca="1">InpC!AT:AT*"Ug1!V"</f>
        <v>#VALUE!</v>
      </c>
      <c r="AZ1" t="e">
        <f ca="1">InpC!AU:AU*"Ug1!W"</f>
        <v>#VALUE!</v>
      </c>
      <c r="BA1" t="e">
        <f ca="1">InpC!AV:AV*"Ug1!X"</f>
        <v>#VALUE!</v>
      </c>
      <c r="BB1" t="e">
        <f ca="1">InpC!AW:AW*"Ug1!Y"</f>
        <v>#VALUE!</v>
      </c>
      <c r="BC1" t="e">
        <f ca="1">InpC!AX:AX*"Ug1!Z"</f>
        <v>#VALUE!</v>
      </c>
      <c r="BD1" t="e">
        <f ca="1">InpC!AY:AY*"Ug1!["</f>
        <v>#VALUE!</v>
      </c>
      <c r="BE1" t="e">
        <f ca="1">InpC!AZ:AZ*"Ug1!\"</f>
        <v>#VALUE!</v>
      </c>
      <c r="BF1" t="e">
        <f ca="1">InpC!BA:BA*"Ug1!]"</f>
        <v>#VALUE!</v>
      </c>
      <c r="BG1" t="e">
        <f ca="1">InpC!BB:BB*"Ug1!^"</f>
        <v>#VALUE!</v>
      </c>
      <c r="BH1" t="e">
        <f ca="1">InpC!BC:BC*"Ug1!_"</f>
        <v>#VALUE!</v>
      </c>
      <c r="BI1" t="e">
        <f ca="1">InpC!BD:BD*"Ug1!`"</f>
        <v>#VALUE!</v>
      </c>
      <c r="BJ1" t="e">
        <f ca="1">InpC!BE:BE*"Ug1!a"</f>
        <v>#VALUE!</v>
      </c>
      <c r="BK1" t="e">
        <f ca="1">InpC!BF:BF*"Ug1!b"</f>
        <v>#VALUE!</v>
      </c>
      <c r="BL1" t="e">
        <f ca="1">InpC!BG:BG*"Ug1!c"</f>
        <v>#VALUE!</v>
      </c>
      <c r="BM1" t="e">
        <f ca="1">InpC!BH:BH*"Ug1!d"</f>
        <v>#VALUE!</v>
      </c>
      <c r="BN1" t="e">
        <f ca="1">InpC!BI:BI*"Ug1!e"</f>
        <v>#VALUE!</v>
      </c>
      <c r="BO1" t="e">
        <f ca="1">InpC!BJ:BJ*"Ug1!f"</f>
        <v>#VALUE!</v>
      </c>
      <c r="BP1" t="e">
        <f ca="1">InpC!BK:BK*"Ug1!g"</f>
        <v>#VALUE!</v>
      </c>
      <c r="BQ1" t="e">
        <f ca="1">InpC!BL:BL*"Ug1!h"</f>
        <v>#VALUE!</v>
      </c>
      <c r="BR1" t="e">
        <f ca="1">InpC!BM:BM*"Ug1!i"</f>
        <v>#VALUE!</v>
      </c>
      <c r="BS1" t="e">
        <f ca="1">InpC!BN:BN*"Ug1!j"</f>
        <v>#VALUE!</v>
      </c>
      <c r="BT1" t="e">
        <f ca="1">InpC!BO:BO*"Ug1!k"</f>
        <v>#VALUE!</v>
      </c>
      <c r="BU1" t="e">
        <f ca="1">InpC!BP:BP*"Ug1!l"</f>
        <v>#VALUE!</v>
      </c>
      <c r="BV1" t="e">
        <f ca="1">InpC!BQ:BQ*"Ug1!m"</f>
        <v>#VALUE!</v>
      </c>
      <c r="BW1" t="e">
        <f ca="1">InpC!BR:BR*"Ug1!n"</f>
        <v>#VALUE!</v>
      </c>
      <c r="BX1" t="e">
        <f ca="1">InpC!BS:BS*"Ug1!o"</f>
        <v>#VALUE!</v>
      </c>
      <c r="BY1" t="e">
        <f ca="1">InpC!BT:BT*"Ug1!p"</f>
        <v>#VALUE!</v>
      </c>
      <c r="BZ1" t="e">
        <f ca="1">InpC!BU:BU*"Ug1!q"</f>
        <v>#VALUE!</v>
      </c>
      <c r="CA1" t="e">
        <f ca="1">InpC!BV:BV*"Ug1!r"</f>
        <v>#VALUE!</v>
      </c>
      <c r="CB1" t="e">
        <f ca="1">InpC!BW:BW*"Ug1!s"</f>
        <v>#VALUE!</v>
      </c>
      <c r="CC1" t="e">
        <f ca="1">InpC!BX:BX*"Ug1!t"</f>
        <v>#VALUE!</v>
      </c>
      <c r="CD1" t="e">
        <f ca="1">InpC!BY:BY*"Ug1!u"</f>
        <v>#VALUE!</v>
      </c>
      <c r="CE1" t="e">
        <f ca="1">InpC!BZ:BZ*"Ug1!v"</f>
        <v>#VALUE!</v>
      </c>
      <c r="CF1" t="e">
        <f ca="1">InpC!CA:CA*"Ug1!w"</f>
        <v>#VALUE!</v>
      </c>
      <c r="CG1" t="e">
        <f ca="1">InpC!CB:CB*"Ug1!x"</f>
        <v>#VALUE!</v>
      </c>
      <c r="CH1" t="e">
        <f ca="1">InpC!CC:CC*"Ug1!y"</f>
        <v>#VALUE!</v>
      </c>
      <c r="CI1" t="e">
        <f ca="1">InpC!CD:CD*"Ug1!z"</f>
        <v>#VALUE!</v>
      </c>
      <c r="CJ1" t="e">
        <f ca="1">InpC!CE:CE*"Ug1!{"</f>
        <v>#VALUE!</v>
      </c>
      <c r="CK1" t="e">
        <f ca="1">InpC!CF:CF*"Ug1!|"</f>
        <v>#VALUE!</v>
      </c>
      <c r="CL1" t="e">
        <f ca="1">InpC!CG:CG*"Ug1!}"</f>
        <v>#VALUE!</v>
      </c>
      <c r="CM1" t="e">
        <f ca="1">InpC!CH:CH*"Ug1!~"</f>
        <v>#VALUE!</v>
      </c>
      <c r="CN1" t="e">
        <f ca="1">InpC!CI:CI*"Ug1!$#"</f>
        <v>#VALUE!</v>
      </c>
      <c r="CO1" t="e">
        <f ca="1">InpC!CJ:CJ*"Ug1!$$"</f>
        <v>#VALUE!</v>
      </c>
      <c r="CP1" t="e">
        <f ca="1">InpC!CK:CK*"Ug1!$%"</f>
        <v>#VALUE!</v>
      </c>
      <c r="CQ1" t="e">
        <f ca="1">InpC!CL:CL*"Ug1!$&amp;"</f>
        <v>#VALUE!</v>
      </c>
      <c r="CR1" t="e">
        <f ca="1">InpC!CM:CM*"Ug1!$'"</f>
        <v>#VALUE!</v>
      </c>
      <c r="CS1" t="e">
        <f ca="1">InpC!CN:CN*"Ug1!$("</f>
        <v>#VALUE!</v>
      </c>
      <c r="CT1" t="e">
        <f ca="1">InpC!CO:CO*"Ug1!$)"</f>
        <v>#VALUE!</v>
      </c>
      <c r="CU1" t="e">
        <f ca="1">InpC!CP:CP*"Ug1!$."</f>
        <v>#VALUE!</v>
      </c>
      <c r="CV1" t="e">
        <f ca="1">InpC!CQ:CQ*"Ug1!$/"</f>
        <v>#VALUE!</v>
      </c>
      <c r="CW1" t="e">
        <f ca="1">InpC!CR:CR*"Ug1!$0"</f>
        <v>#VALUE!</v>
      </c>
      <c r="CX1" t="e">
        <f ca="1">InpC!CS:CS*"Ug1!$1"</f>
        <v>#VALUE!</v>
      </c>
      <c r="CY1" t="e">
        <f ca="1">InpC!CT:CT*"Ug1!$2"</f>
        <v>#VALUE!</v>
      </c>
      <c r="CZ1" t="e">
        <f ca="1">InpC!CU:CU*"Ug1!$3"</f>
        <v>#VALUE!</v>
      </c>
      <c r="DA1" t="e">
        <f ca="1">InpC!CV:CV*"Ug1!$4"</f>
        <v>#VALUE!</v>
      </c>
      <c r="DB1" t="e">
        <f ca="1">InpC!CW:CW*"Ug1!$5"</f>
        <v>#VALUE!</v>
      </c>
      <c r="DC1" t="e">
        <f ca="1">InpC!CX:CX*"Ug1!$6"</f>
        <v>#VALUE!</v>
      </c>
      <c r="DD1" t="e">
        <f ca="1">InpC!CY:CY*"Ug1!$7"</f>
        <v>#VALUE!</v>
      </c>
      <c r="DE1" t="e">
        <f ca="1">InpC!CZ:CZ*"Ug1!$8"</f>
        <v>#VALUE!</v>
      </c>
      <c r="DF1" t="e">
        <f ca="1">InpC!DA:DA*"Ug1!$9"</f>
        <v>#VALUE!</v>
      </c>
      <c r="DG1" t="e">
        <f ca="1">InpC!DB:DB*"Ug1!$:"</f>
        <v>#VALUE!</v>
      </c>
      <c r="DH1" t="e">
        <f ca="1">InpC!DC:DC*"Ug1!$;"</f>
        <v>#VALUE!</v>
      </c>
      <c r="DI1" t="e">
        <f ca="1">InpC!DD:DD*"Ug1!$&lt;"</f>
        <v>#VALUE!</v>
      </c>
      <c r="DJ1" t="e">
        <f ca="1">InpC!DE:DE*"Ug1!$="</f>
        <v>#VALUE!</v>
      </c>
      <c r="DK1" t="e">
        <f ca="1">InpC!DF:DF*"Ug1!$&gt;"</f>
        <v>#VALUE!</v>
      </c>
      <c r="DL1" t="e">
        <f ca="1">InpC!DG:DG*"Ug1!$?"</f>
        <v>#VALUE!</v>
      </c>
      <c r="DM1" t="e">
        <f ca="1">InpC!DH:DH*"Ug1!$@"</f>
        <v>#VALUE!</v>
      </c>
      <c r="DN1" t="e">
        <f ca="1">InpC!DI:DI*"Ug1!$A"</f>
        <v>#VALUE!</v>
      </c>
      <c r="DO1" t="e">
        <f ca="1">InpC!DJ:DJ*"Ug1!$B"</f>
        <v>#VALUE!</v>
      </c>
      <c r="DP1" t="e">
        <f ca="1">InpC!DK:DK*"Ug1!$C"</f>
        <v>#VALUE!</v>
      </c>
      <c r="DQ1" t="e">
        <f ca="1">InpC!DL:DL*"Ug1!$D"</f>
        <v>#VALUE!</v>
      </c>
      <c r="DR1" t="e">
        <f ca="1">InpC!DM:DM*"Ug1!$E"</f>
        <v>#VALUE!</v>
      </c>
      <c r="DS1" t="e">
        <f ca="1">InpC!DN:DN*"Ug1!$F"</f>
        <v>#VALUE!</v>
      </c>
      <c r="DT1" t="e">
        <f ca="1">InpC!DO:DO*"Ug1!$G"</f>
        <v>#VALUE!</v>
      </c>
      <c r="DU1" t="e">
        <f ca="1">InpC!DP:DP*"Ug1!$H"</f>
        <v>#VALUE!</v>
      </c>
      <c r="DV1" t="e">
        <f ca="1">InpC!DQ:DQ*"Ug1!$I"</f>
        <v>#VALUE!</v>
      </c>
      <c r="DW1" t="e">
        <f ca="1">InpC!DR:DR*"Ug1!$J"</f>
        <v>#VALUE!</v>
      </c>
      <c r="DX1" t="e">
        <f ca="1">InpC!DS:DS*"Ug1!$K"</f>
        <v>#VALUE!</v>
      </c>
      <c r="DY1" t="e">
        <f ca="1">InpC!DT:DT*"Ug1!$L"</f>
        <v>#VALUE!</v>
      </c>
      <c r="DZ1" t="e">
        <f ca="1">InpC!DU:DU*"Ug1!$M"</f>
        <v>#VALUE!</v>
      </c>
      <c r="EA1" t="e">
        <f ca="1">InpC!DV:DV*"Ug1!$N"</f>
        <v>#VALUE!</v>
      </c>
      <c r="EB1" t="e">
        <f ca="1">InpC!DW:DW*"Ug1!$O"</f>
        <v>#VALUE!</v>
      </c>
      <c r="EC1" t="e">
        <f ca="1">InpC!1:1-"Ug1!$P"</f>
        <v>#VALUE!</v>
      </c>
      <c r="ED1" t="e">
        <f ca="1">InpC!2:2-"Ug1!$Q"</f>
        <v>#VALUE!</v>
      </c>
      <c r="EE1" t="e">
        <f ca="1">InpC!3:3-"Ug1!$R"</f>
        <v>#VALUE!</v>
      </c>
      <c r="EF1" t="e">
        <f ca="1">InpC!4:4-"Ug1!$S"</f>
        <v>#VALUE!</v>
      </c>
      <c r="EG1" t="e">
        <f ca="1">InpC!5:5-"Ug1!$T"</f>
        <v>#VALUE!</v>
      </c>
      <c r="EH1" t="e">
        <f ca="1">InpC!6:6-"Ug1!$U"</f>
        <v>#VALUE!</v>
      </c>
      <c r="EI1" t="e">
        <f ca="1">InpC!7:7-"Ug1!$V"</f>
        <v>#VALUE!</v>
      </c>
      <c r="EJ1" t="e">
        <f ca="1">InpC!8:8-"Ug1!$W"</f>
        <v>#VALUE!</v>
      </c>
      <c r="EK1" t="e">
        <f ca="1">InpC!9:9-"Ug1!$X"</f>
        <v>#VALUE!</v>
      </c>
      <c r="EL1" t="e">
        <f ca="1">InpC!10:10-"Ug1!$Y"</f>
        <v>#VALUE!</v>
      </c>
      <c r="EM1" t="e">
        <f ca="1">InpC!11:11-"Ug1!$Z"</f>
        <v>#VALUE!</v>
      </c>
      <c r="EN1" t="e">
        <f ca="1">InpC!12:12-"Ug1!$["</f>
        <v>#VALUE!</v>
      </c>
      <c r="EO1" t="e">
        <f ca="1">InpC!13:13-"Ug1!$\"</f>
        <v>#VALUE!</v>
      </c>
      <c r="EP1" t="e">
        <f ca="1">InpC!14:14-"Ug1!$]"</f>
        <v>#VALUE!</v>
      </c>
      <c r="EQ1" t="e">
        <f ca="1">InpC!15:15-"Ug1!$^"</f>
        <v>#VALUE!</v>
      </c>
      <c r="ER1" t="e">
        <f ca="1">InpC!16:16-"Ug1!$_"</f>
        <v>#VALUE!</v>
      </c>
      <c r="ES1" t="e">
        <f ca="1">InpC!17:17-"Ug1!$`"</f>
        <v>#VALUE!</v>
      </c>
      <c r="ET1" t="e">
        <f ca="1">InpC!18:18-"Ug1!$a"</f>
        <v>#VALUE!</v>
      </c>
      <c r="EU1" t="e">
        <f ca="1">InpC!19:19-"Ug1!$b"</f>
        <v>#VALUE!</v>
      </c>
      <c r="EV1" t="e">
        <f ca="1">InpC!20:20-"Ug1!$c"</f>
        <v>#VALUE!</v>
      </c>
      <c r="EW1" t="e">
        <f ca="1">InpC!21:21-"Ug1!$d"</f>
        <v>#VALUE!</v>
      </c>
      <c r="EX1" t="e">
        <f ca="1">InpC!22:22-"Ug1!$e"</f>
        <v>#VALUE!</v>
      </c>
      <c r="EY1" t="e">
        <f ca="1">InpC!23:23-"Ug1!$f"</f>
        <v>#VALUE!</v>
      </c>
      <c r="EZ1" t="e">
        <f ca="1">InpC!24:24-"Ug1!$g"</f>
        <v>#VALUE!</v>
      </c>
      <c r="FA1" t="e">
        <f ca="1">InpC!25:25-"Ug1!$h"</f>
        <v>#VALUE!</v>
      </c>
      <c r="FB1" t="e">
        <f ca="1">InpC!26:26-"Ug1!$i"</f>
        <v>#VALUE!</v>
      </c>
      <c r="FC1" t="e">
        <f ca="1">InpC!27:27-"Ug1!$j"</f>
        <v>#VALUE!</v>
      </c>
      <c r="FD1" t="e">
        <f ca="1">InpC!28:28-"Ug1!$k"</f>
        <v>#VALUE!</v>
      </c>
      <c r="FE1" t="e">
        <f ca="1">InpC!29:29-"Ug1!$l"</f>
        <v>#VALUE!</v>
      </c>
      <c r="FF1" t="e">
        <f ca="1">InpC!30:30-"Ug1!$m"</f>
        <v>#VALUE!</v>
      </c>
      <c r="FG1" t="e">
        <f ca="1">InpC!31:31-"Ug1!$n"</f>
        <v>#VALUE!</v>
      </c>
      <c r="FH1" t="e">
        <f ca="1">InpC!32:32-"Ug1!$o"</f>
        <v>#VALUE!</v>
      </c>
      <c r="FI1" t="e">
        <f ca="1">InpC!33:33-"Ug1!$p"</f>
        <v>#VALUE!</v>
      </c>
      <c r="FJ1" t="e">
        <f ca="1">InpC!34:34-"Ug1!$q"</f>
        <v>#VALUE!</v>
      </c>
      <c r="FK1" t="e">
        <f ca="1">InpC!35:35-"Ug1!$r"</f>
        <v>#VALUE!</v>
      </c>
      <c r="FL1" t="e">
        <f ca="1">InpC!36:36-"Ug1!$s"</f>
        <v>#VALUE!</v>
      </c>
      <c r="FM1" t="e">
        <f ca="1">InpC!37:37-"Ug1!$t"</f>
        <v>#VALUE!</v>
      </c>
      <c r="FN1" t="e">
        <f ca="1">InpC!38:38-"Ug1!$u"</f>
        <v>#VALUE!</v>
      </c>
      <c r="FO1" t="e">
        <f ca="1">InpC!39:39-"Ug1!$v"</f>
        <v>#VALUE!</v>
      </c>
      <c r="FP1" t="e">
        <f ca="1">InpC!40:40-"Ug1!$w"</f>
        <v>#VALUE!</v>
      </c>
      <c r="FQ1" t="e">
        <f ca="1">InpC!41:41-"Ug1!$x"</f>
        <v>#VALUE!</v>
      </c>
      <c r="FR1" t="e">
        <f ca="1">InpC!42:42-"Ug1!$y"</f>
        <v>#VALUE!</v>
      </c>
      <c r="FS1" t="e">
        <f ca="1">InpC!43:43-"Ug1!$z"</f>
        <v>#VALUE!</v>
      </c>
      <c r="FT1" t="e">
        <f ca="1">InpC!44:44-"Ug1!${"</f>
        <v>#VALUE!</v>
      </c>
      <c r="FU1" t="e">
        <f ca="1">InpC!45:45-"Ug1!$|"</f>
        <v>#VALUE!</v>
      </c>
      <c r="FV1" t="e">
        <f ca="1">InpC!46:46-"Ug1!$}"</f>
        <v>#VALUE!</v>
      </c>
      <c r="FW1" t="e">
        <f ca="1">InpC!47:47-"Ug1!$~"</f>
        <v>#VALUE!</v>
      </c>
      <c r="FX1" t="e">
        <f ca="1">InpC!48:48-"Ug1!%#"</f>
        <v>#VALUE!</v>
      </c>
      <c r="FY1" t="e">
        <f ca="1">InpC!49:49-"Ug1!%$"</f>
        <v>#VALUE!</v>
      </c>
      <c r="FZ1" t="e">
        <f ca="1">InpC!50:50-"Ug1!%%"</f>
        <v>#VALUE!</v>
      </c>
      <c r="GA1" t="e">
        <f ca="1">InpC!51:51-"Ug1!%&amp;"</f>
        <v>#VALUE!</v>
      </c>
      <c r="GB1" t="e">
        <f ca="1">InpC!52:52-"Ug1!%'"</f>
        <v>#VALUE!</v>
      </c>
      <c r="GC1" t="e">
        <f ca="1">InpC!53:53-"Ug1!%("</f>
        <v>#VALUE!</v>
      </c>
      <c r="GD1" t="e">
        <f ca="1">InpC!54:54-"Ug1!%)"</f>
        <v>#VALUE!</v>
      </c>
      <c r="GE1" t="e">
        <f ca="1">InpC!55:55-"Ug1!%."</f>
        <v>#VALUE!</v>
      </c>
      <c r="GF1" t="e">
        <f ca="1">InpC!56:56-"Ug1!%/"</f>
        <v>#VALUE!</v>
      </c>
      <c r="GG1" t="e">
        <f ca="1">InpC!57:57-"Ug1!%0"</f>
        <v>#VALUE!</v>
      </c>
      <c r="GH1" t="e">
        <f ca="1">InpC!58:58-"Ug1!%1"</f>
        <v>#VALUE!</v>
      </c>
      <c r="GI1" t="e">
        <f ca="1">InpC!59:59-"Ug1!%2"</f>
        <v>#VALUE!</v>
      </c>
      <c r="GJ1" t="e">
        <f ca="1">InpC!60:60-"Ug1!%3"</f>
        <v>#VALUE!</v>
      </c>
      <c r="GK1" t="e">
        <f ca="1">InpC!61:61-"Ug1!%4"</f>
        <v>#VALUE!</v>
      </c>
      <c r="GL1" t="e">
        <f ca="1">InpC!62:62-"Ug1!%5"</f>
        <v>#VALUE!</v>
      </c>
      <c r="GM1" t="e">
        <f ca="1">InpC!63:63-"Ug1!%6"</f>
        <v>#VALUE!</v>
      </c>
      <c r="GN1" t="e">
        <f ca="1">InpC!64:64-"Ug1!%7"</f>
        <v>#VALUE!</v>
      </c>
      <c r="GO1" t="e">
        <f ca="1">InpC!65:65-"Ug1!%8"</f>
        <v>#VALUE!</v>
      </c>
      <c r="GP1" t="e">
        <f ca="1">InpC!66:66-"Ug1!%9"</f>
        <v>#VALUE!</v>
      </c>
      <c r="GQ1" t="e">
        <f ca="1">InpC!67:67-"Ug1!%:"</f>
        <v>#VALUE!</v>
      </c>
      <c r="GR1" t="e">
        <f ca="1">InpC!68:68-"Ug1!%;"</f>
        <v>#VALUE!</v>
      </c>
      <c r="GS1" t="e">
        <f ca="1">InpC!69:69-"Ug1!%&lt;"</f>
        <v>#VALUE!</v>
      </c>
      <c r="GT1" t="e">
        <f ca="1">InpC!70:70-"Ug1!%="</f>
        <v>#VALUE!</v>
      </c>
      <c r="GU1" t="e">
        <f ca="1">InpC!71:71-"Ug1!%&gt;"</f>
        <v>#VALUE!</v>
      </c>
      <c r="GV1" t="e">
        <f ca="1">InpC!72:72-"Ug1!%?"</f>
        <v>#VALUE!</v>
      </c>
      <c r="GW1" t="e">
        <f ca="1">InpC!73:73-"Ug1!%@"</f>
        <v>#VALUE!</v>
      </c>
      <c r="GX1" t="e">
        <f ca="1">InpC!74:74-"Ug1!%A"</f>
        <v>#VALUE!</v>
      </c>
      <c r="GY1" t="e">
        <f ca="1">InpC!75:75-"Ug1!%B"</f>
        <v>#VALUE!</v>
      </c>
      <c r="GZ1" t="e">
        <f ca="1">InpC!76:76-"Ug1!%C"</f>
        <v>#VALUE!</v>
      </c>
      <c r="HA1" t="e">
        <f ca="1">InpC!77:77-"Ug1!%D"</f>
        <v>#VALUE!</v>
      </c>
      <c r="HB1" t="e">
        <f ca="1">InpC!78:78-"Ug1!%E"</f>
        <v>#VALUE!</v>
      </c>
      <c r="HC1" t="e">
        <f ca="1">InpC!79:79-"Ug1!%F"</f>
        <v>#VALUE!</v>
      </c>
      <c r="HD1" t="e">
        <f ca="1">InpC!80:80-"Ug1!%G"</f>
        <v>#VALUE!</v>
      </c>
      <c r="HE1" t="e">
        <f ca="1">InpC!81:81-"Ug1!%H"</f>
        <v>#VALUE!</v>
      </c>
      <c r="HF1" t="e">
        <f ca="1">InpC!82:82-"Ug1!%I"</f>
        <v>#VALUE!</v>
      </c>
      <c r="HG1" t="e">
        <f ca="1">InpC!83:83-"Ug1!%J"</f>
        <v>#VALUE!</v>
      </c>
      <c r="HH1" t="e">
        <f ca="1">InpC!84:84-"Ug1!%K"</f>
        <v>#VALUE!</v>
      </c>
      <c r="HI1" t="e">
        <f ca="1">InpC!85:85-"Ug1!%L"</f>
        <v>#VALUE!</v>
      </c>
      <c r="HJ1" t="e">
        <f ca="1">InpC!86:86-"Ug1!%M"</f>
        <v>#VALUE!</v>
      </c>
      <c r="HK1" t="e">
        <f ca="1">InpC!87:87-"Ug1!%N"</f>
        <v>#VALUE!</v>
      </c>
      <c r="HL1" t="e">
        <f ca="1">InpC!88:88-"Ug1!%O"</f>
        <v>#VALUE!</v>
      </c>
      <c r="HM1" t="e">
        <f ca="1">InpC!89:89-"Ug1!%P"</f>
        <v>#VALUE!</v>
      </c>
      <c r="HN1" t="e">
        <f ca="1">InpC!90:90-"Ug1!%Q"</f>
        <v>#VALUE!</v>
      </c>
      <c r="HO1" t="e">
        <f ca="1">InpC!91:91-"Ug1!%R"</f>
        <v>#VALUE!</v>
      </c>
      <c r="HP1" t="e">
        <f ca="1">InpC!92:92-"Ug1!%S"</f>
        <v>#VALUE!</v>
      </c>
      <c r="HQ1" t="e">
        <f ca="1">InpC!93:93-"Ug1!%T"</f>
        <v>#VALUE!</v>
      </c>
      <c r="HR1" t="e">
        <f ca="1">InpC!94:94-"Ug1!%U"</f>
        <v>#VALUE!</v>
      </c>
      <c r="HS1" t="e">
        <f ca="1">InpC!95:95-"Ug1!%V"</f>
        <v>#VALUE!</v>
      </c>
      <c r="HT1" t="e">
        <f ca="1">InpC!96:96-"Ug1!%W"</f>
        <v>#VALUE!</v>
      </c>
      <c r="HU1" t="e">
        <f ca="1">InpC!97:97-"Ug1!%X"</f>
        <v>#VALUE!</v>
      </c>
      <c r="HV1" t="e">
        <f ca="1">InpC!98:98-"Ug1!%Y"</f>
        <v>#VALUE!</v>
      </c>
      <c r="HW1" t="e">
        <f ca="1">InpC!99:99-"Ug1!%Z"</f>
        <v>#VALUE!</v>
      </c>
      <c r="HX1" t="e">
        <f ca="1">InpC!100:100-"Ug1!%["</f>
        <v>#VALUE!</v>
      </c>
      <c r="HY1" t="e">
        <f ca="1">InpC!101:101-"Ug1!%\"</f>
        <v>#VALUE!</v>
      </c>
      <c r="HZ1" t="e">
        <f ca="1">InpC!102:102-"Ug1!%]"</f>
        <v>#VALUE!</v>
      </c>
      <c r="IA1" t="e">
        <f ca="1">InpC!103:103-"Ug1!%^"</f>
        <v>#VALUE!</v>
      </c>
      <c r="IB1" t="e">
        <f ca="1">InpC!104:104-"Ug1!%_"</f>
        <v>#VALUE!</v>
      </c>
      <c r="IC1" t="e">
        <f ca="1">InpC!105:105-"Ug1!%`"</f>
        <v>#VALUE!</v>
      </c>
      <c r="ID1" t="e">
        <f ca="1">InpC!106:106-"Ug1!%a"</f>
        <v>#VALUE!</v>
      </c>
      <c r="IE1" t="e">
        <f ca="1">InpC!107:107-"Ug1!%b"</f>
        <v>#VALUE!</v>
      </c>
      <c r="IF1" t="e">
        <f ca="1">InpC!108:108-"Ug1!%c"</f>
        <v>#VALUE!</v>
      </c>
      <c r="IG1" t="e">
        <f ca="1">InpC!109:109-"Ug1!%d"</f>
        <v>#VALUE!</v>
      </c>
      <c r="IH1" t="e">
        <f ca="1">InpC!110:110-"Ug1!%e"</f>
        <v>#VALUE!</v>
      </c>
      <c r="II1" t="e">
        <f ca="1">InpC!111:111-"Ug1!%f"</f>
        <v>#VALUE!</v>
      </c>
      <c r="IJ1" t="e">
        <f ca="1">InpC!112:112-"Ug1!%g"</f>
        <v>#VALUE!</v>
      </c>
      <c r="IK1" t="e">
        <f ca="1">InpC!113:113-"Ug1!%h"</f>
        <v>#VALUE!</v>
      </c>
      <c r="IL1" t="e">
        <f ca="1">InpC!114:114-"Ug1!%i"</f>
        <v>#VALUE!</v>
      </c>
      <c r="IM1" t="e">
        <f ca="1">InpC!115:115-"Ug1!%j"</f>
        <v>#VALUE!</v>
      </c>
      <c r="IN1" t="e">
        <f ca="1">InpC!116:116-"Ug1!%k"</f>
        <v>#VALUE!</v>
      </c>
      <c r="IO1" t="e">
        <f ca="1">InpC!117:117-"Ug1!%l"</f>
        <v>#VALUE!</v>
      </c>
      <c r="IP1" t="e">
        <f ca="1">InpC!118:118-"Ug1!%m"</f>
        <v>#VALUE!</v>
      </c>
      <c r="IQ1" t="e">
        <f ca="1">InpC!119:119-"Ug1!%n"</f>
        <v>#VALUE!</v>
      </c>
      <c r="IR1" t="e">
        <f ca="1">InpC!120:120-"Ug1!%o"</f>
        <v>#VALUE!</v>
      </c>
      <c r="IS1" t="e">
        <f ca="1">InpC!121:121-"Ug1!%p"</f>
        <v>#VALUE!</v>
      </c>
      <c r="IT1" t="e">
        <f ca="1">InpC!122:122-"Ug1!%q"</f>
        <v>#VALUE!</v>
      </c>
      <c r="IU1" t="e">
        <f ca="1">InpC!123:123-"Ug1!%r"</f>
        <v>#VALUE!</v>
      </c>
      <c r="IV1" t="e">
        <f ca="1">InpC!124:124-"Ug1!%s"</f>
        <v>#VALUE!</v>
      </c>
    </row>
    <row r="2" spans="1:256" x14ac:dyDescent="0.2">
      <c r="A2" t="s">
        <v>96</v>
      </c>
      <c r="F2" t="e">
        <f ca="1">InpC!125:125-"Ug1!%t"</f>
        <v>#VALUE!</v>
      </c>
      <c r="G2" t="e">
        <f ca="1">InpC!126:126-"Ug1!%u"</f>
        <v>#VALUE!</v>
      </c>
      <c r="H2" t="e">
        <f ca="1">InpC!127:127-"Ug1!%v"</f>
        <v>#VALUE!</v>
      </c>
      <c r="I2" t="e">
        <f ca="1">InpC!128:128-"Ug1!%w"</f>
        <v>#VALUE!</v>
      </c>
      <c r="J2" t="e">
        <f ca="1">InpC!129:129-"Ug1!%x"</f>
        <v>#VALUE!</v>
      </c>
      <c r="K2" t="e">
        <f ca="1">InpC!130:130-"Ug1!%y"</f>
        <v>#VALUE!</v>
      </c>
      <c r="L2" t="e">
        <f ca="1">InpC!131:131-"Ug1!%z"</f>
        <v>#VALUE!</v>
      </c>
      <c r="M2" t="e">
        <f ca="1">InpC!132:132-"Ug1!%{"</f>
        <v>#VALUE!</v>
      </c>
      <c r="N2" t="e">
        <f ca="1">InpC!133:133-"Ug1!%|"</f>
        <v>#VALUE!</v>
      </c>
      <c r="O2" t="e">
        <f ca="1">InpC!134:134-"Ug1!%}"</f>
        <v>#VALUE!</v>
      </c>
      <c r="P2" t="e">
        <f ca="1">InpC!135:135-"Ug1!%~"</f>
        <v>#VALUE!</v>
      </c>
      <c r="Q2" t="e">
        <f ca="1">InpC!136:136-"Ug1!&amp;#"</f>
        <v>#VALUE!</v>
      </c>
      <c r="R2" t="e">
        <f ca="1">InpC!137:137-"Ug1!&amp;$"</f>
        <v>#VALUE!</v>
      </c>
      <c r="S2" t="e">
        <f ca="1">InpC!138:138-"Ug1!&amp;%"</f>
        <v>#VALUE!</v>
      </c>
      <c r="T2" t="e">
        <f ca="1">InpC!139:139-"Ug1!&amp;&amp;"</f>
        <v>#VALUE!</v>
      </c>
      <c r="U2" t="e">
        <f ca="1">InpC!140:140-"Ug1!&amp;'"</f>
        <v>#VALUE!</v>
      </c>
      <c r="V2" t="e">
        <f ca="1">InpC!141:141-"Ug1!&amp;("</f>
        <v>#VALUE!</v>
      </c>
      <c r="W2" t="e">
        <f ca="1">InpC!142:142-"Ug1!&amp;)"</f>
        <v>#VALUE!</v>
      </c>
      <c r="X2" t="e">
        <f ca="1">InpC!143:143-"Ug1!&amp;."</f>
        <v>#VALUE!</v>
      </c>
      <c r="Y2" t="e">
        <f ca="1">InpC!144:144-"Ug1!&amp;/"</f>
        <v>#VALUE!</v>
      </c>
      <c r="Z2" t="e">
        <f ca="1">InpC!145:145-"Ug1!&amp;0"</f>
        <v>#VALUE!</v>
      </c>
      <c r="AA2" t="e">
        <f ca="1">InpC!146:146-"Ug1!&amp;1"</f>
        <v>#VALUE!</v>
      </c>
      <c r="AB2" t="e">
        <f ca="1">InpC!147:147-"Ug1!&amp;2"</f>
        <v>#VALUE!</v>
      </c>
      <c r="AC2" t="e">
        <f ca="1">InpC!148:148-"Ug1!&amp;3"</f>
        <v>#VALUE!</v>
      </c>
      <c r="AD2" t="e">
        <f ca="1">InpC!149:149-"Ug1!&amp;4"</f>
        <v>#VALUE!</v>
      </c>
      <c r="AE2" t="e">
        <f ca="1">InpC!150:150-"Ug1!&amp;5"</f>
        <v>#VALUE!</v>
      </c>
      <c r="AF2" t="e">
        <f ca="1">InpC!151:151-"Ug1!&amp;6"</f>
        <v>#VALUE!</v>
      </c>
      <c r="AG2" t="e">
        <f ca="1">InpC!152:152-"Ug1!&amp;7"</f>
        <v>#VALUE!</v>
      </c>
      <c r="AH2" t="e">
        <f ca="1">InpC!153:153-"Ug1!&amp;8"</f>
        <v>#VALUE!</v>
      </c>
      <c r="AI2" t="e">
        <f ca="1">InpC!154:154-"Ug1!&amp;9"</f>
        <v>#VALUE!</v>
      </c>
      <c r="AJ2" t="e">
        <f ca="1">InpC!155:155-"Ug1!&amp;:"</f>
        <v>#VALUE!</v>
      </c>
      <c r="AK2" t="e">
        <f ca="1">InpC!156:156-"Ug1!&amp;;"</f>
        <v>#VALUE!</v>
      </c>
      <c r="AL2" t="e">
        <f ca="1">InpC!157:157-"Ug1!&amp;&lt;"</f>
        <v>#VALUE!</v>
      </c>
      <c r="AM2" t="e">
        <f ca="1">InpC!158:158-"Ug1!&amp;="</f>
        <v>#VALUE!</v>
      </c>
      <c r="AN2" t="e">
        <f ca="1">InpC!159:159-"Ug1!&amp;&gt;"</f>
        <v>#VALUE!</v>
      </c>
      <c r="AO2" t="e">
        <f ca="1">InpC!160:160-"Ug1!&amp;?"</f>
        <v>#VALUE!</v>
      </c>
      <c r="AP2" t="e">
        <f ca="1">InpC!161:161-"Ug1!&amp;@"</f>
        <v>#VALUE!</v>
      </c>
      <c r="AQ2" t="e">
        <f ca="1">InpC!162:162-"Ug1!&amp;A"</f>
        <v>#VALUE!</v>
      </c>
      <c r="AR2" t="e">
        <f ca="1">InpC!163:163-"Ug1!&amp;B"</f>
        <v>#VALUE!</v>
      </c>
      <c r="AS2" t="e">
        <f ca="1">InpC!164:164-"Ug1!&amp;C"</f>
        <v>#VALUE!</v>
      </c>
      <c r="AT2" t="e">
        <f ca="1">InpC!165:165-"Ug1!&amp;D"</f>
        <v>#VALUE!</v>
      </c>
      <c r="AU2" t="e">
        <f ca="1">InpC!166:166-"Ug1!&amp;E"</f>
        <v>#VALUE!</v>
      </c>
      <c r="AV2" t="e">
        <f ca="1">InpC!167:167-"Ug1!&amp;F"</f>
        <v>#VALUE!</v>
      </c>
      <c r="AW2" t="e">
        <f ca="1">InpC!168:168-"Ug1!&amp;G"</f>
        <v>#VALUE!</v>
      </c>
      <c r="AX2" t="e">
        <f ca="1">InpC!169:169-"Ug1!&amp;H"</f>
        <v>#VALUE!</v>
      </c>
      <c r="AY2" t="e">
        <f ca="1">InpC!170:170-"Ug1!&amp;I"</f>
        <v>#VALUE!</v>
      </c>
      <c r="AZ2" t="e">
        <f ca="1">InpC!171:171-"Ug1!&amp;J"</f>
        <v>#VALUE!</v>
      </c>
      <c r="BA2" t="e">
        <f ca="1">InpC!172:172-"Ug1!&amp;K"</f>
        <v>#VALUE!</v>
      </c>
      <c r="BB2" t="e">
        <f ca="1">InpC!173:173-"Ug1!&amp;L"</f>
        <v>#VALUE!</v>
      </c>
      <c r="BC2" t="e">
        <f ca="1">InpC!174:174-"Ug1!&amp;M"</f>
        <v>#VALUE!</v>
      </c>
      <c r="BD2" t="e">
        <f ca="1">InpC!175:175-"Ug1!&amp;N"</f>
        <v>#VALUE!</v>
      </c>
      <c r="BE2" t="e">
        <f ca="1">InpC!176:176-"Ug1!&amp;O"</f>
        <v>#VALUE!</v>
      </c>
      <c r="BF2" t="e">
        <f ca="1">InpC!177:177-"Ug1!&amp;P"</f>
        <v>#VALUE!</v>
      </c>
      <c r="BG2" t="e">
        <f ca="1">InpC!178:178-"Ug1!&amp;Q"</f>
        <v>#VALUE!</v>
      </c>
      <c r="BH2" t="e">
        <f ca="1">InpC!179:179-"Ug1!&amp;R"</f>
        <v>#VALUE!</v>
      </c>
      <c r="BI2" t="e">
        <f ca="1">InpC!180:180-"Ug1!&amp;S"</f>
        <v>#VALUE!</v>
      </c>
      <c r="BJ2" t="e">
        <f ca="1">InpC!181:181-"Ug1!&amp;T"</f>
        <v>#VALUE!</v>
      </c>
      <c r="BK2" t="e">
        <f ca="1">InpC!182:182-"Ug1!&amp;U"</f>
        <v>#VALUE!</v>
      </c>
      <c r="BL2" t="e">
        <f ca="1">InpC!183:183-"Ug1!&amp;V"</f>
        <v>#VALUE!</v>
      </c>
      <c r="BM2" t="e">
        <f ca="1">InpC!184:184-"Ug1!&amp;W"</f>
        <v>#VALUE!</v>
      </c>
      <c r="BN2" t="e">
        <f ca="1">InpC!185:185-"Ug1!&amp;X"</f>
        <v>#VALUE!</v>
      </c>
      <c r="BO2" t="e">
        <f ca="1">InpC!186:186-"Ug1!&amp;Y"</f>
        <v>#VALUE!</v>
      </c>
      <c r="BP2" t="e">
        <f ca="1">InpC!187:187-"Ug1!&amp;Z"</f>
        <v>#VALUE!</v>
      </c>
      <c r="BQ2" t="e">
        <f ca="1">InpC!188:188-"Ug1!&amp;["</f>
        <v>#VALUE!</v>
      </c>
      <c r="BR2" t="e">
        <f ca="1">InpC!189:189-"Ug1!&amp;\"</f>
        <v>#VALUE!</v>
      </c>
      <c r="BS2" t="e">
        <f ca="1">InpC!190:190-"Ug1!&amp;]"</f>
        <v>#VALUE!</v>
      </c>
      <c r="BT2" t="e">
        <f ca="1">InpC!191:191-"Ug1!&amp;^"</f>
        <v>#VALUE!</v>
      </c>
      <c r="BU2" t="e">
        <f ca="1">InpC!192:192-"Ug1!&amp;_"</f>
        <v>#VALUE!</v>
      </c>
      <c r="BV2" t="e">
        <f ca="1">InpC!193:193-"Ug1!&amp;`"</f>
        <v>#VALUE!</v>
      </c>
      <c r="BW2" t="e">
        <f ca="1">InpC!194:194-"Ug1!&amp;a"</f>
        <v>#VALUE!</v>
      </c>
      <c r="BX2" t="e">
        <f ca="1">InpC!195:195-"Ug1!&amp;b"</f>
        <v>#VALUE!</v>
      </c>
      <c r="BY2" t="e">
        <f ca="1">InpC!196:196-"Ug1!&amp;c"</f>
        <v>#VALUE!</v>
      </c>
      <c r="BZ2" t="e">
        <f ca="1">InpC!197:197-"Ug1!&amp;d"</f>
        <v>#VALUE!</v>
      </c>
      <c r="CA2" t="e">
        <f ca="1">InpC!198:198-"Ug1!&amp;e"</f>
        <v>#VALUE!</v>
      </c>
      <c r="CB2" t="e">
        <f ca="1">InpC!199:199-"Ug1!&amp;f"</f>
        <v>#VALUE!</v>
      </c>
      <c r="CC2" t="e">
        <f ca="1">InpC!200:200-"Ug1!&amp;g"</f>
        <v>#VALUE!</v>
      </c>
      <c r="CD2" t="e">
        <f ca="1">InpC!201:201-"Ug1!&amp;h"</f>
        <v>#VALUE!</v>
      </c>
      <c r="CE2" t="e">
        <f ca="1">InpC!202:202-"Ug1!&amp;i"</f>
        <v>#VALUE!</v>
      </c>
      <c r="CF2" t="e">
        <f ca="1">InpC!203:203-"Ug1!&amp;j"</f>
        <v>#VALUE!</v>
      </c>
      <c r="CG2" t="e">
        <f ca="1">InpC!204:204-"Ug1!&amp;k"</f>
        <v>#VALUE!</v>
      </c>
      <c r="CH2" t="e">
        <f ca="1">InpC!205:205-"Ug1!&amp;l"</f>
        <v>#VALUE!</v>
      </c>
      <c r="CI2" t="e">
        <f ca="1">InpC!206:206-"Ug1!&amp;m"</f>
        <v>#VALUE!</v>
      </c>
      <c r="CJ2" t="e">
        <f ca="1">InpC!207:207-"Ug1!&amp;n"</f>
        <v>#VALUE!</v>
      </c>
      <c r="CK2" t="e">
        <f ca="1">InpC!208:208-"Ug1!&amp;o"</f>
        <v>#VALUE!</v>
      </c>
      <c r="CL2" t="e">
        <f ca="1">InpC!209:209-"Ug1!&amp;p"</f>
        <v>#VALUE!</v>
      </c>
      <c r="CM2" t="e">
        <f ca="1">InpC!210:210-"Ug1!&amp;q"</f>
        <v>#VALUE!</v>
      </c>
      <c r="CN2" t="e">
        <f ca="1">InpC!211:211-"Ug1!&amp;r"</f>
        <v>#VALUE!</v>
      </c>
      <c r="CO2" t="e">
        <f ca="1">InpC!212:212-"Ug1!&amp;s"</f>
        <v>#VALUE!</v>
      </c>
      <c r="CP2" t="e">
        <f ca="1">InpC!213:213-"Ug1!&amp;t"</f>
        <v>#VALUE!</v>
      </c>
      <c r="CQ2" t="e">
        <f ca="1">InpC!214:214-"Ug1!&amp;u"</f>
        <v>#VALUE!</v>
      </c>
      <c r="CR2" t="e">
        <f ca="1">InpC!215:215-"Ug1!&amp;v"</f>
        <v>#VALUE!</v>
      </c>
      <c r="CS2" t="e">
        <f ca="1">InpC!216:216-"Ug1!&amp;w"</f>
        <v>#VALUE!</v>
      </c>
      <c r="CT2" t="e">
        <f ca="1">InpC!217:217-"Ug1!&amp;x"</f>
        <v>#VALUE!</v>
      </c>
      <c r="CU2" t="e">
        <f ca="1">InpC!218:218-"Ug1!&amp;y"</f>
        <v>#VALUE!</v>
      </c>
      <c r="CV2" t="e">
        <f ca="1">InpC!219:219-"Ug1!&amp;z"</f>
        <v>#VALUE!</v>
      </c>
      <c r="CW2" t="e">
        <f ca="1">InpC!A1+"Ug1!&amp;{"</f>
        <v>#VALUE!</v>
      </c>
      <c r="CX2" t="e">
        <f ca="1">InpC!B1+"Ug1!&amp;|"</f>
        <v>#VALUE!</v>
      </c>
      <c r="CY2" t="e">
        <f ca="1">InpC!C1+"Ug1!&amp;}"</f>
        <v>#VALUE!</v>
      </c>
      <c r="CZ2" t="e">
        <f ca="1">InpC!D1+"Ug1!&amp;~"</f>
        <v>#VALUE!</v>
      </c>
      <c r="DA2" t="e">
        <f ca="1">InpC!E1+"Ug1!'#"</f>
        <v>#VALUE!</v>
      </c>
      <c r="DB2" t="e">
        <f ca="1">InpC!F1+"Ug1!'$"</f>
        <v>#VALUE!</v>
      </c>
      <c r="DC2" t="e">
        <f ca="1">InpC!G1+"Ug1!'%"</f>
        <v>#VALUE!</v>
      </c>
      <c r="DD2" t="e">
        <f ca="1">InpC!H1+"Ug1!'&amp;"</f>
        <v>#VALUE!</v>
      </c>
      <c r="DE2" t="e">
        <f ca="1">InpC!I1+"Ug1!''"</f>
        <v>#VALUE!</v>
      </c>
      <c r="DF2" t="e">
        <f ca="1">InpC!J1+"Ug1!'("</f>
        <v>#VALUE!</v>
      </c>
      <c r="DG2" t="e">
        <f ca="1">InpC!K1+"Ug1!')"</f>
        <v>#VALUE!</v>
      </c>
      <c r="DH2" t="e">
        <f ca="1">InpC!L1+"Ug1!'."</f>
        <v>#VALUE!</v>
      </c>
      <c r="DI2" t="e">
        <f ca="1">InpC!M1+"Ug1!'/"</f>
        <v>#VALUE!</v>
      </c>
      <c r="DJ2" t="e">
        <f ca="1">InpC!N1+"Ug1!'0"</f>
        <v>#VALUE!</v>
      </c>
      <c r="DK2" t="e">
        <f ca="1">InpC!O1+"Ug1!'1"</f>
        <v>#VALUE!</v>
      </c>
      <c r="DL2" t="e">
        <f ca="1">InpC!P1+"Ug1!'2"</f>
        <v>#VALUE!</v>
      </c>
      <c r="DM2" t="e">
        <f ca="1">InpC!Q1+"Ug1!'3"</f>
        <v>#VALUE!</v>
      </c>
      <c r="DN2" t="e">
        <f ca="1">InpC!R1+"Ug1!'4"</f>
        <v>#VALUE!</v>
      </c>
      <c r="DO2" t="e">
        <f ca="1">InpC!S1+"Ug1!'5"</f>
        <v>#VALUE!</v>
      </c>
      <c r="DP2" t="e">
        <f ca="1">InpC!T1+"Ug1!'6"</f>
        <v>#VALUE!</v>
      </c>
      <c r="DQ2" t="e">
        <f ca="1">InpC!U1+"Ug1!'7"</f>
        <v>#VALUE!</v>
      </c>
      <c r="DR2" t="e">
        <f ca="1">InpC!V1+"Ug1!'8"</f>
        <v>#VALUE!</v>
      </c>
      <c r="DS2" t="e">
        <f ca="1">InpC!W1+"Ug1!'9"</f>
        <v>#VALUE!</v>
      </c>
      <c r="DT2" t="e">
        <f ca="1">InpC!X1+"Ug1!':"</f>
        <v>#VALUE!</v>
      </c>
      <c r="DU2" t="e">
        <f ca="1">InpC!Y1+"Ug1!';"</f>
        <v>#VALUE!</v>
      </c>
      <c r="DV2" t="e">
        <f ca="1">InpC!Z1+"Ug1!'&lt;"</f>
        <v>#VALUE!</v>
      </c>
      <c r="DW2" t="e">
        <f ca="1">InpC!AA1+"Ug1!'="</f>
        <v>#VALUE!</v>
      </c>
      <c r="DX2" t="e">
        <f ca="1">InpC!AB1+"Ug1!'&gt;"</f>
        <v>#VALUE!</v>
      </c>
      <c r="DY2" t="e">
        <f ca="1">InpC!AC1+"Ug1!'?"</f>
        <v>#VALUE!</v>
      </c>
      <c r="DZ2" t="e">
        <f ca="1">InpC!AD1+"Ug1!'@"</f>
        <v>#VALUE!</v>
      </c>
      <c r="EA2" t="e">
        <f ca="1">InpC!AE1+"Ug1!'A"</f>
        <v>#VALUE!</v>
      </c>
      <c r="EB2" t="e">
        <f ca="1">InpC!AF1+"Ug1!'B"</f>
        <v>#VALUE!</v>
      </c>
      <c r="EC2" t="e">
        <f ca="1">InpC!AG1+"Ug1!'C"</f>
        <v>#VALUE!</v>
      </c>
      <c r="ED2" t="e">
        <f ca="1">InpC!AH1+"Ug1!'D"</f>
        <v>#VALUE!</v>
      </c>
      <c r="EE2" t="e">
        <f ca="1">InpC!AI1+"Ug1!'E"</f>
        <v>#VALUE!</v>
      </c>
      <c r="EF2" t="e">
        <f ca="1">InpC!AJ1+"Ug1!'F"</f>
        <v>#VALUE!</v>
      </c>
      <c r="EG2" t="e">
        <f ca="1">InpC!AK1+"Ug1!'G"</f>
        <v>#VALUE!</v>
      </c>
      <c r="EH2" t="e">
        <f ca="1">InpC!AL1+"Ug1!'H"</f>
        <v>#VALUE!</v>
      </c>
      <c r="EI2" t="e">
        <f ca="1">InpC!AM1+"Ug1!'I"</f>
        <v>#VALUE!</v>
      </c>
      <c r="EJ2" t="e">
        <f ca="1">InpC!AN1+"Ug1!'J"</f>
        <v>#VALUE!</v>
      </c>
      <c r="EK2" t="e">
        <f ca="1">InpC!AO1+"Ug1!'K"</f>
        <v>#VALUE!</v>
      </c>
      <c r="EL2" t="e">
        <f ca="1">InpC!AP1+"Ug1!'L"</f>
        <v>#VALUE!</v>
      </c>
      <c r="EM2" t="e">
        <f ca="1">InpC!AQ1+"Ug1!'M"</f>
        <v>#VALUE!</v>
      </c>
      <c r="EN2" t="e">
        <f ca="1">InpC!AR1+"Ug1!'N"</f>
        <v>#VALUE!</v>
      </c>
      <c r="EO2" t="e">
        <f ca="1">InpC!AS1+"Ug1!'O"</f>
        <v>#VALUE!</v>
      </c>
      <c r="EP2" t="e">
        <f ca="1">InpC!AT1+"Ug1!'P"</f>
        <v>#VALUE!</v>
      </c>
      <c r="EQ2" t="e">
        <f ca="1">InpC!AU1+"Ug1!'Q"</f>
        <v>#VALUE!</v>
      </c>
      <c r="ER2" t="e">
        <f ca="1">InpC!AV1+"Ug1!'R"</f>
        <v>#VALUE!</v>
      </c>
      <c r="ES2" t="e">
        <f ca="1">InpC!AW1+"Ug1!'S"</f>
        <v>#VALUE!</v>
      </c>
      <c r="ET2" t="e">
        <f ca="1">InpC!AX1+"Ug1!'T"</f>
        <v>#VALUE!</v>
      </c>
      <c r="EU2" t="e">
        <f ca="1">InpC!AY1+"Ug1!'U"</f>
        <v>#VALUE!</v>
      </c>
      <c r="EV2" t="e">
        <f ca="1">InpC!AZ1+"Ug1!'V"</f>
        <v>#VALUE!</v>
      </c>
      <c r="EW2" t="e">
        <f ca="1">InpC!BA1+"Ug1!'W"</f>
        <v>#VALUE!</v>
      </c>
      <c r="EX2" t="e">
        <f ca="1">InpC!BB1+"Ug1!'X"</f>
        <v>#VALUE!</v>
      </c>
      <c r="EY2" t="e">
        <f ca="1">InpC!BC1+"Ug1!'Y"</f>
        <v>#VALUE!</v>
      </c>
      <c r="EZ2" t="e">
        <f ca="1">InpC!BD1+"Ug1!'Z"</f>
        <v>#VALUE!</v>
      </c>
      <c r="FA2" t="e">
        <f ca="1">InpC!BE1+"Ug1!'["</f>
        <v>#VALUE!</v>
      </c>
      <c r="FB2" t="e">
        <f ca="1">InpC!BF1+"Ug1!'\"</f>
        <v>#VALUE!</v>
      </c>
      <c r="FC2" t="e">
        <f ca="1">InpC!BG1+"Ug1!']"</f>
        <v>#VALUE!</v>
      </c>
      <c r="FD2" t="e">
        <f ca="1">InpC!BH1+"Ug1!'^"</f>
        <v>#VALUE!</v>
      </c>
      <c r="FE2" t="e">
        <f ca="1">InpC!BI1+"Ug1!'_"</f>
        <v>#VALUE!</v>
      </c>
      <c r="FF2" t="e">
        <f ca="1">InpC!BJ1+"Ug1!'`"</f>
        <v>#VALUE!</v>
      </c>
      <c r="FG2" t="e">
        <f ca="1">InpC!BK1+"Ug1!'a"</f>
        <v>#VALUE!</v>
      </c>
      <c r="FH2" t="e">
        <f ca="1">InpC!BL1+"Ug1!'b"</f>
        <v>#VALUE!</v>
      </c>
      <c r="FI2" t="e">
        <f ca="1">InpC!BM1+"Ug1!'c"</f>
        <v>#VALUE!</v>
      </c>
      <c r="FJ2" t="e">
        <f ca="1">InpC!BN1+"Ug1!'d"</f>
        <v>#VALUE!</v>
      </c>
      <c r="FK2" t="e">
        <f ca="1">InpC!BO1+"Ug1!'e"</f>
        <v>#VALUE!</v>
      </c>
      <c r="FL2" t="e">
        <f ca="1">InpC!BP1+"Ug1!'f"</f>
        <v>#VALUE!</v>
      </c>
      <c r="FM2" t="e">
        <f ca="1">InpC!BQ1+"Ug1!'g"</f>
        <v>#VALUE!</v>
      </c>
      <c r="FN2" t="e">
        <f ca="1">InpC!BR1+"Ug1!'h"</f>
        <v>#VALUE!</v>
      </c>
      <c r="FO2" t="e">
        <f ca="1">InpC!BS1+"Ug1!'i"</f>
        <v>#VALUE!</v>
      </c>
      <c r="FP2" t="e">
        <f ca="1">InpC!BT1+"Ug1!'j"</f>
        <v>#VALUE!</v>
      </c>
      <c r="FQ2" t="e">
        <f ca="1">InpC!BU1+"Ug1!'k"</f>
        <v>#VALUE!</v>
      </c>
      <c r="FR2" t="e">
        <f ca="1">InpC!BV1+"Ug1!'l"</f>
        <v>#VALUE!</v>
      </c>
      <c r="FS2" t="e">
        <f ca="1">InpC!BW1+"Ug1!'m"</f>
        <v>#VALUE!</v>
      </c>
      <c r="FT2" t="e">
        <f ca="1">InpC!BX1+"Ug1!'n"</f>
        <v>#VALUE!</v>
      </c>
      <c r="FU2" t="e">
        <f ca="1">InpC!BY1+"Ug1!'o"</f>
        <v>#VALUE!</v>
      </c>
      <c r="FV2" t="e">
        <f ca="1">InpC!A2+"Ug1!'p"</f>
        <v>#VALUE!</v>
      </c>
      <c r="FW2" t="e">
        <f ca="1">InpC!B2+"Ug1!'q"</f>
        <v>#VALUE!</v>
      </c>
      <c r="FX2" t="e">
        <f ca="1">InpC!C2+"Ug1!'r"</f>
        <v>#VALUE!</v>
      </c>
      <c r="FY2" t="e">
        <f ca="1">InpC!D2+"Ug1!'s"</f>
        <v>#VALUE!</v>
      </c>
      <c r="FZ2" t="e">
        <f ca="1">InpC!F2+"Ug1!'t"</f>
        <v>#VALUE!</v>
      </c>
      <c r="GA2" t="e">
        <f ca="1">InpC!G2+"Ug1!'u"</f>
        <v>#VALUE!</v>
      </c>
      <c r="GB2" t="e">
        <f ca="1">InpC!H2+"Ug1!'v"</f>
        <v>#VALUE!</v>
      </c>
      <c r="GC2" t="e">
        <f ca="1">InpC!A3+"Ug1!'w"</f>
        <v>#VALUE!</v>
      </c>
      <c r="GD2" t="e">
        <f ca="1">InpC!B3+"Ug1!'x"</f>
        <v>#VALUE!</v>
      </c>
      <c r="GE2" t="e">
        <f ca="1">InpC!C3+"Ug1!'y"</f>
        <v>#VALUE!</v>
      </c>
      <c r="GF2" t="e">
        <f ca="1">InpC!D3+"Ug1!'z"</f>
        <v>#VALUE!</v>
      </c>
      <c r="GG2" t="e">
        <f ca="1">InpC!F3+"Ug1!'{"</f>
        <v>#VALUE!</v>
      </c>
      <c r="GH2" t="e">
        <f ca="1">InpC!G3+"Ug1!'|"</f>
        <v>#VALUE!</v>
      </c>
      <c r="GI2" t="e">
        <f ca="1">InpC!H3+"Ug1!'}"</f>
        <v>#VALUE!</v>
      </c>
      <c r="GJ2" t="e">
        <f ca="1">InpC!A4+"Ug1!'~"</f>
        <v>#VALUE!</v>
      </c>
      <c r="GK2" t="e">
        <f ca="1">InpC!B4+"Ug1!(#"</f>
        <v>#VALUE!</v>
      </c>
      <c r="GL2" t="e">
        <f ca="1">InpC!C4+"Ug1!($"</f>
        <v>#VALUE!</v>
      </c>
      <c r="GM2" t="e">
        <f ca="1">InpC!D4+"Ug1!(%"</f>
        <v>#VALUE!</v>
      </c>
      <c r="GN2" t="e">
        <f ca="1">InpC!F4+"Ug1!(&amp;"</f>
        <v>#VALUE!</v>
      </c>
      <c r="GO2" t="e">
        <f ca="1">InpC!G4+"Ug1!('"</f>
        <v>#VALUE!</v>
      </c>
      <c r="GP2" t="e">
        <f ca="1">InpC!H4+"Ug1!(("</f>
        <v>#VALUE!</v>
      </c>
      <c r="GQ2" t="e">
        <f ca="1">InpC!C5+"Ug1!()"</f>
        <v>#VALUE!</v>
      </c>
      <c r="GR2" t="e">
        <f ca="1">InpC!D5+"Ug1!(."</f>
        <v>#VALUE!</v>
      </c>
      <c r="GS2" t="e">
        <f ca="1">InpC!E5+"Ug1!(/"</f>
        <v>#VALUE!</v>
      </c>
      <c r="GT2" t="e">
        <f ca="1">InpC!F5+"Ug1!(0"</f>
        <v>#VALUE!</v>
      </c>
      <c r="GU2" t="e">
        <f ca="1">InpC!G5+"Ug1!(1"</f>
        <v>#VALUE!</v>
      </c>
      <c r="GV2" t="e">
        <f ca="1">InpC!H5+"Ug1!(2"</f>
        <v>#VALUE!</v>
      </c>
      <c r="GW2" t="e">
        <f ca="1">InpC!A6+"Ug1!(3"</f>
        <v>#VALUE!</v>
      </c>
      <c r="GX2" t="e">
        <f ca="1">InpC!A7+"Ug1!(4"</f>
        <v>#VALUE!</v>
      </c>
      <c r="GY2" t="e">
        <f ca="1">InpC!A9+"Ug1!(5"</f>
        <v>#VALUE!</v>
      </c>
      <c r="GZ2" t="e">
        <f ca="1">InpC!B9+"Ug1!(6"</f>
        <v>#VALUE!</v>
      </c>
      <c r="HA2" t="e">
        <f ca="1">InpC!C9+"Ug1!(7"</f>
        <v>#VALUE!</v>
      </c>
      <c r="HB2" t="e">
        <f ca="1">InpC!D9+"Ug1!(8"</f>
        <v>#VALUE!</v>
      </c>
      <c r="HC2" t="e">
        <f ca="1">InpC!E9+"Ug1!(9"</f>
        <v>#VALUE!</v>
      </c>
      <c r="HD2" t="e">
        <f ca="1">InpC!F9+"Ug1!(:"</f>
        <v>#VALUE!</v>
      </c>
      <c r="HE2" t="e">
        <f ca="1">InpC!G9+"Ug1!(;"</f>
        <v>#VALUE!</v>
      </c>
      <c r="HF2" t="e">
        <f ca="1">InpC!E11+"Ug1!(&lt;"</f>
        <v>#VALUE!</v>
      </c>
      <c r="HG2" t="e">
        <f ca="1">InpC!F11+"Ug1!(="</f>
        <v>#VALUE!</v>
      </c>
      <c r="HH2" t="e">
        <f ca="1">InpC!G11+"Ug1!(&gt;"</f>
        <v>#VALUE!</v>
      </c>
      <c r="HI2" t="e">
        <f ca="1">InpC!A13+"Ug1!(?"</f>
        <v>#VALUE!</v>
      </c>
      <c r="HJ2" t="e">
        <f ca="1">InpC!B13+"Ug1!(@"</f>
        <v>#VALUE!</v>
      </c>
      <c r="HK2" t="e">
        <f ca="1">InpC!C13+"Ug1!(A"</f>
        <v>#VALUE!</v>
      </c>
      <c r="HL2" t="e">
        <f ca="1">InpC!D13+"Ug1!(B"</f>
        <v>#VALUE!</v>
      </c>
      <c r="HM2" t="e">
        <f ca="1">InpC!E13+"Ug1!(C"</f>
        <v>#VALUE!</v>
      </c>
      <c r="HN2" t="e">
        <f ca="1">InpC!F13+"Ug1!(D"</f>
        <v>#VALUE!</v>
      </c>
      <c r="HO2" t="e">
        <f ca="1">InpC!G13+"Ug1!(E"</f>
        <v>#VALUE!</v>
      </c>
      <c r="HP2" t="e">
        <f ca="1">InpC!A14+"Ug1!(F"</f>
        <v>#VALUE!</v>
      </c>
      <c r="HQ2" t="e">
        <f ca="1">InpC!B14+"Ug1!(G"</f>
        <v>#VALUE!</v>
      </c>
      <c r="HR2" t="e">
        <f ca="1">InpC!C14+"Ug1!(H"</f>
        <v>#VALUE!</v>
      </c>
      <c r="HS2" t="e">
        <f ca="1">InpC!D14+"Ug1!(I"</f>
        <v>#VALUE!</v>
      </c>
      <c r="HT2" t="e">
        <f ca="1">InpC!E14+"Ug1!(J"</f>
        <v>#VALUE!</v>
      </c>
      <c r="HU2" t="e">
        <f ca="1">InpC!F14+"Ug1!(K"</f>
        <v>#VALUE!</v>
      </c>
      <c r="HV2" t="e">
        <f ca="1">InpC!G14+"Ug1!(L"</f>
        <v>#VALUE!</v>
      </c>
      <c r="HW2" t="e">
        <f ca="1">InpC!J14+"Ug1!(M"</f>
        <v>#VALUE!</v>
      </c>
      <c r="HX2" t="e">
        <f ca="1">InpC!K14+"Ug1!(N"</f>
        <v>#VALUE!</v>
      </c>
      <c r="HY2" t="e">
        <f ca="1">InpC!L14+"Ug1!(O"</f>
        <v>#VALUE!</v>
      </c>
      <c r="HZ2" t="e">
        <f ca="1">InpC!M14+"Ug1!(P"</f>
        <v>#VALUE!</v>
      </c>
      <c r="IA2" t="e">
        <f ca="1">InpC!N14+"Ug1!(Q"</f>
        <v>#VALUE!</v>
      </c>
      <c r="IB2" t="e">
        <f ca="1">InpC!O14+"Ug1!(R"</f>
        <v>#VALUE!</v>
      </c>
      <c r="IC2" t="e">
        <f ca="1">InpC!P14+"Ug1!(S"</f>
        <v>#VALUE!</v>
      </c>
      <c r="ID2" t="e">
        <f ca="1">InpC!Q14+"Ug1!(T"</f>
        <v>#VALUE!</v>
      </c>
      <c r="IE2" t="e">
        <f ca="1">InpC!R14+"Ug1!(U"</f>
        <v>#VALUE!</v>
      </c>
      <c r="IF2" t="e">
        <f ca="1">InpC!S14+"Ug1!(V"</f>
        <v>#VALUE!</v>
      </c>
      <c r="IG2" t="e">
        <f ca="1">InpC!T14+"Ug1!(W"</f>
        <v>#VALUE!</v>
      </c>
      <c r="IH2" t="e">
        <f ca="1">InpC!U14+"Ug1!(X"</f>
        <v>#VALUE!</v>
      </c>
      <c r="II2" t="e">
        <f ca="1">InpC!V14+"Ug1!(Y"</f>
        <v>#VALUE!</v>
      </c>
      <c r="IJ2" t="e">
        <f ca="1">InpC!W14+"Ug1!(Z"</f>
        <v>#VALUE!</v>
      </c>
      <c r="IK2" t="e">
        <f ca="1">InpC!X14+"Ug1!(["</f>
        <v>#VALUE!</v>
      </c>
      <c r="IL2" t="e">
        <f ca="1">InpC!Y14+"Ug1!(\"</f>
        <v>#VALUE!</v>
      </c>
      <c r="IM2" t="e">
        <f ca="1">InpC!Z14+"Ug1!(]"</f>
        <v>#VALUE!</v>
      </c>
      <c r="IN2" t="e">
        <f ca="1">InpC!AA14+"Ug1!(^"</f>
        <v>#VALUE!</v>
      </c>
      <c r="IO2" t="e">
        <f ca="1">InpC!A16+"Ug1!(_"</f>
        <v>#VALUE!</v>
      </c>
      <c r="IP2" t="e">
        <f ca="1">InpC!B16+"Ug1!(`"</f>
        <v>#VALUE!</v>
      </c>
      <c r="IQ2" t="e">
        <f ca="1">InpC!C16+"Ug1!(a"</f>
        <v>#VALUE!</v>
      </c>
      <c r="IR2" t="e">
        <f ca="1">InpC!D16+"Ug1!(b"</f>
        <v>#VALUE!</v>
      </c>
      <c r="IS2" t="e">
        <f ca="1">InpC!E16+"Ug1!(c"</f>
        <v>#VALUE!</v>
      </c>
      <c r="IT2" t="e">
        <f ca="1">InpC!F16+"Ug1!(d"</f>
        <v>#VALUE!</v>
      </c>
      <c r="IU2" t="e">
        <f ca="1">InpC!G16+"Ug1!(e"</f>
        <v>#VALUE!</v>
      </c>
      <c r="IV2" t="e">
        <f ca="1">InpC!A17+"Ug1!(f"</f>
        <v>#VALUE!</v>
      </c>
    </row>
    <row r="3" spans="1:256" x14ac:dyDescent="0.2">
      <c r="A3" t="s">
        <v>97</v>
      </c>
      <c r="F3" t="e">
        <f ca="1">InpC!B17+"Ug1!(g"</f>
        <v>#VALUE!</v>
      </c>
      <c r="G3" t="e">
        <f ca="1">InpC!E17+"Ug1!(h"</f>
        <v>#VALUE!</v>
      </c>
      <c r="H3" t="e">
        <f ca="1">InpC!F17+"Ug1!(i"</f>
        <v>#VALUE!</v>
      </c>
      <c r="I3" t="e">
        <f ca="1">InpC!G17+"Ug1!(j"</f>
        <v>#VALUE!</v>
      </c>
      <c r="J3" t="e">
        <f ca="1">InpC!A18+"Ug1!(k"</f>
        <v>#VALUE!</v>
      </c>
      <c r="K3" t="e">
        <f ca="1">InpC!B18+"Ug1!(l"</f>
        <v>#VALUE!</v>
      </c>
      <c r="L3" t="e">
        <f ca="1">InpC!A19+"Ug1!(m"</f>
        <v>#VALUE!</v>
      </c>
      <c r="M3" t="e">
        <f ca="1">InpC!B19+"Ug1!(n"</f>
        <v>#VALUE!</v>
      </c>
      <c r="N3" t="e">
        <f ca="1">Time!A:A*"Ug1!(o"</f>
        <v>#VALUE!</v>
      </c>
      <c r="O3" t="e">
        <f ca="1">Time!B:B*"Ug1!(p"</f>
        <v>#VALUE!</v>
      </c>
      <c r="P3" t="e">
        <f ca="1">Time!C:C*"Ug1!(q"</f>
        <v>#VALUE!</v>
      </c>
      <c r="Q3" t="e">
        <f ca="1">Time!D:D*"Ug1!(r"</f>
        <v>#VALUE!</v>
      </c>
      <c r="R3" t="e">
        <f ca="1">Time!E:E*"Ug1!(s"</f>
        <v>#VALUE!</v>
      </c>
      <c r="S3" t="e">
        <f ca="1">Time!F:F*"Ug1!(t"</f>
        <v>#VALUE!</v>
      </c>
      <c r="T3" t="e">
        <f ca="1">Time!G:G*"Ug1!(u"</f>
        <v>#VALUE!</v>
      </c>
      <c r="U3" t="e">
        <f ca="1">Time!H:H*"Ug1!(v"</f>
        <v>#VALUE!</v>
      </c>
      <c r="V3" t="e">
        <f ca="1">Time!I:I*"Ug1!(w"</f>
        <v>#VALUE!</v>
      </c>
      <c r="W3" t="e">
        <f ca="1">Time!J:J*"Ug1!(x"</f>
        <v>#VALUE!</v>
      </c>
      <c r="X3" t="e">
        <f ca="1">Time!K:K*"Ug1!(y"</f>
        <v>#VALUE!</v>
      </c>
      <c r="Y3" t="e">
        <f ca="1">Time!L:L*"Ug1!(z"</f>
        <v>#VALUE!</v>
      </c>
      <c r="Z3" t="e">
        <f ca="1">Time!M:M*"Ug1!({"</f>
        <v>#VALUE!</v>
      </c>
      <c r="AA3" t="e">
        <f ca="1">Time!N:N*"Ug1!(|"</f>
        <v>#VALUE!</v>
      </c>
      <c r="AB3" t="e">
        <f ca="1">Time!O:O*"Ug1!(}"</f>
        <v>#VALUE!</v>
      </c>
      <c r="AC3" t="e">
        <f ca="1">Time!P:P*"Ug1!(~"</f>
        <v>#VALUE!</v>
      </c>
      <c r="AD3" t="e">
        <f ca="1">Time!Q:Q*"Ug1!)#"</f>
        <v>#VALUE!</v>
      </c>
      <c r="AE3" t="e">
        <f ca="1">Time!R:R*"Ug1!)$"</f>
        <v>#VALUE!</v>
      </c>
      <c r="AF3" t="e">
        <f ca="1">Time!S:S*"Ug1!)%"</f>
        <v>#VALUE!</v>
      </c>
      <c r="AG3" t="e">
        <f ca="1">Time!T:T*"Ug1!)&amp;"</f>
        <v>#VALUE!</v>
      </c>
      <c r="AH3" t="e">
        <f ca="1">Time!U:U*"Ug1!)'"</f>
        <v>#VALUE!</v>
      </c>
      <c r="AI3" t="e">
        <f ca="1">Time!V:V*"Ug1!)("</f>
        <v>#VALUE!</v>
      </c>
      <c r="AJ3" t="e">
        <f ca="1">Time!W:W*"Ug1!))"</f>
        <v>#VALUE!</v>
      </c>
      <c r="AK3" t="e">
        <f ca="1">Time!X:X*"Ug1!)."</f>
        <v>#VALUE!</v>
      </c>
      <c r="AL3" t="e">
        <f ca="1">Time!Y:Y*"Ug1!)/"</f>
        <v>#VALUE!</v>
      </c>
      <c r="AM3" t="e">
        <f ca="1">Time!Z:Z*"Ug1!)0"</f>
        <v>#VALUE!</v>
      </c>
      <c r="AN3" t="e">
        <f ca="1">Time!AA:AA*"Ug1!)1"</f>
        <v>#VALUE!</v>
      </c>
      <c r="AO3" t="e">
        <f ca="1">Time!AB:AB*"Ug1!)2"</f>
        <v>#VALUE!</v>
      </c>
      <c r="AP3" t="e">
        <f ca="1">Time!AC:AC*"Ug1!)3"</f>
        <v>#VALUE!</v>
      </c>
      <c r="AQ3" t="e">
        <f ca="1">Time!AD:AD*"Ug1!)4"</f>
        <v>#VALUE!</v>
      </c>
      <c r="AR3" t="e">
        <f ca="1">Time!AE:AE*"Ug1!)5"</f>
        <v>#VALUE!</v>
      </c>
      <c r="AS3" t="e">
        <f ca="1">Time!AF:AF*"Ug1!)6"</f>
        <v>#VALUE!</v>
      </c>
      <c r="AT3" t="e">
        <f ca="1">Time!AG:AG*"Ug1!)7"</f>
        <v>#VALUE!</v>
      </c>
      <c r="AU3" t="e">
        <f ca="1">Time!AH:AH*"Ug1!)8"</f>
        <v>#VALUE!</v>
      </c>
      <c r="AV3" t="e">
        <f ca="1">Time!AI:AI*"Ug1!)9"</f>
        <v>#VALUE!</v>
      </c>
      <c r="AW3" t="e">
        <f ca="1">Time!AJ:AJ*"Ug1!):"</f>
        <v>#VALUE!</v>
      </c>
      <c r="AX3" t="e">
        <f ca="1">Time!AK:AK*"Ug1!);"</f>
        <v>#VALUE!</v>
      </c>
      <c r="AY3" t="e">
        <f ca="1">Time!AL:AL*"Ug1!)&lt;"</f>
        <v>#VALUE!</v>
      </c>
      <c r="AZ3" t="e">
        <f ca="1">Time!AM:AM*"Ug1!)="</f>
        <v>#VALUE!</v>
      </c>
      <c r="BA3" t="e">
        <f ca="1">Time!AN:AN*"Ug1!)&gt;"</f>
        <v>#VALUE!</v>
      </c>
      <c r="BB3" t="e">
        <f ca="1">Time!AO:AO*"Ug1!)?"</f>
        <v>#VALUE!</v>
      </c>
      <c r="BC3" t="e">
        <f ca="1">Time!AP:AP*"Ug1!)@"</f>
        <v>#VALUE!</v>
      </c>
      <c r="BD3" t="e">
        <f ca="1">Time!AQ:AQ*"Ug1!)A"</f>
        <v>#VALUE!</v>
      </c>
      <c r="BE3" t="e">
        <f ca="1">Time!AR:AR*"Ug1!)B"</f>
        <v>#VALUE!</v>
      </c>
      <c r="BF3" t="e">
        <f ca="1">Time!AS:AS*"Ug1!)C"</f>
        <v>#VALUE!</v>
      </c>
      <c r="BG3" t="e">
        <f ca="1">Time!AT:AT*"Ug1!)D"</f>
        <v>#VALUE!</v>
      </c>
      <c r="BH3" t="e">
        <f ca="1">Time!AU:AU*"Ug1!)E"</f>
        <v>#VALUE!</v>
      </c>
      <c r="BI3" t="e">
        <f ca="1">Time!AV:AV*"Ug1!)F"</f>
        <v>#VALUE!</v>
      </c>
      <c r="BJ3" t="e">
        <f ca="1">Time!AW:AW*"Ug1!)G"</f>
        <v>#VALUE!</v>
      </c>
      <c r="BK3" t="e">
        <f ca="1">Time!AX:AX*"Ug1!)H"</f>
        <v>#VALUE!</v>
      </c>
      <c r="BL3" t="e">
        <f ca="1">Time!AY:AY*"Ug1!)I"</f>
        <v>#VALUE!</v>
      </c>
      <c r="BM3" t="e">
        <f ca="1">Time!AZ:AZ*"Ug1!)J"</f>
        <v>#VALUE!</v>
      </c>
      <c r="BN3" t="e">
        <f ca="1">Time!BA:BA*"Ug1!)K"</f>
        <v>#VALUE!</v>
      </c>
      <c r="BO3" t="e">
        <f ca="1">Time!BB:BB*"Ug1!)L"</f>
        <v>#VALUE!</v>
      </c>
      <c r="BP3" t="e">
        <f ca="1">Time!BC:BC*"Ug1!)M"</f>
        <v>#VALUE!</v>
      </c>
      <c r="BQ3" t="e">
        <f ca="1">Time!BD:BD*"Ug1!)N"</f>
        <v>#VALUE!</v>
      </c>
      <c r="BR3" t="e">
        <f ca="1">Time!BE:BE*"Ug1!)O"</f>
        <v>#VALUE!</v>
      </c>
      <c r="BS3" t="e">
        <f ca="1">Time!BF:BF*"Ug1!)P"</f>
        <v>#VALUE!</v>
      </c>
      <c r="BT3" t="e">
        <f ca="1">Time!BG:BG*"Ug1!)Q"</f>
        <v>#VALUE!</v>
      </c>
      <c r="BU3" t="e">
        <f ca="1">Time!BH:BH*"Ug1!)R"</f>
        <v>#VALUE!</v>
      </c>
      <c r="BV3" t="e">
        <f ca="1">Time!BI:BI*"Ug1!)S"</f>
        <v>#VALUE!</v>
      </c>
      <c r="BW3" t="e">
        <f ca="1">Time!BJ:BJ*"Ug1!)T"</f>
        <v>#VALUE!</v>
      </c>
      <c r="BX3" t="e">
        <f ca="1">Time!BK:BK*"Ug1!)U"</f>
        <v>#VALUE!</v>
      </c>
      <c r="BY3" t="e">
        <f ca="1">Time!BL:BL*"Ug1!)V"</f>
        <v>#VALUE!</v>
      </c>
      <c r="BZ3" t="e">
        <f ca="1">Time!BM:BM*"Ug1!)W"</f>
        <v>#VALUE!</v>
      </c>
      <c r="CA3" t="e">
        <f ca="1">Time!BN:BN*"Ug1!)X"</f>
        <v>#VALUE!</v>
      </c>
      <c r="CB3" t="e">
        <f ca="1">Time!BO:BO*"Ug1!)Y"</f>
        <v>#VALUE!</v>
      </c>
      <c r="CC3" t="e">
        <f ca="1">Time!BP:BP*"Ug1!)Z"</f>
        <v>#VALUE!</v>
      </c>
      <c r="CD3" t="e">
        <f ca="1">Time!BQ:BQ*"Ug1!)["</f>
        <v>#VALUE!</v>
      </c>
      <c r="CE3" t="e">
        <f ca="1">Time!BR:BR*"Ug1!)\"</f>
        <v>#VALUE!</v>
      </c>
      <c r="CF3" t="e">
        <f ca="1">Time!BS:BS*"Ug1!)]"</f>
        <v>#VALUE!</v>
      </c>
      <c r="CG3" t="e">
        <f ca="1">Time!BT:BT*"Ug1!)^"</f>
        <v>#VALUE!</v>
      </c>
      <c r="CH3" t="e">
        <f ca="1">Time!BU:BU*"Ug1!)_"</f>
        <v>#VALUE!</v>
      </c>
      <c r="CI3" t="e">
        <f ca="1">Time!BV:BV*"Ug1!)`"</f>
        <v>#VALUE!</v>
      </c>
      <c r="CJ3" t="e">
        <f ca="1">Time!BW:BW*"Ug1!)a"</f>
        <v>#VALUE!</v>
      </c>
      <c r="CK3" t="e">
        <f ca="1">Time!BX:BX*"Ug1!)b"</f>
        <v>#VALUE!</v>
      </c>
      <c r="CL3" t="e">
        <f ca="1">Time!BY:BY*"Ug1!)c"</f>
        <v>#VALUE!</v>
      </c>
      <c r="CM3" t="e">
        <f ca="1">Time!BZ:BZ*"Ug1!)d"</f>
        <v>#VALUE!</v>
      </c>
      <c r="CN3" t="e">
        <f ca="1">Time!CA:CA*"Ug1!)e"</f>
        <v>#VALUE!</v>
      </c>
      <c r="CO3" t="e">
        <f ca="1">Time!CB:CB*"Ug1!)f"</f>
        <v>#VALUE!</v>
      </c>
      <c r="CP3" t="e">
        <f ca="1">Time!CC:CC*"Ug1!)g"</f>
        <v>#VALUE!</v>
      </c>
      <c r="CQ3" t="e">
        <f ca="1">Time!CD:CD*"Ug1!)h"</f>
        <v>#VALUE!</v>
      </c>
      <c r="CR3" t="e">
        <f ca="1">Time!CE:CE*"Ug1!)i"</f>
        <v>#VALUE!</v>
      </c>
      <c r="CS3" t="e">
        <f ca="1">Time!CF:CF*"Ug1!)j"</f>
        <v>#VALUE!</v>
      </c>
      <c r="CT3" t="e">
        <f ca="1">Time!CG:CG*"Ug1!)k"</f>
        <v>#VALUE!</v>
      </c>
      <c r="CU3" t="e">
        <f ca="1">Time!CH:CH*"Ug1!)l"</f>
        <v>#VALUE!</v>
      </c>
      <c r="CV3" t="e">
        <f ca="1">Time!CI:CI*"Ug1!)m"</f>
        <v>#VALUE!</v>
      </c>
      <c r="CW3" t="e">
        <f ca="1">Time!CJ:CJ*"Ug1!)n"</f>
        <v>#VALUE!</v>
      </c>
      <c r="CX3" t="e">
        <f ca="1">Time!CK:CK*"Ug1!)o"</f>
        <v>#VALUE!</v>
      </c>
      <c r="CY3" t="e">
        <f ca="1">Time!CL:CL*"Ug1!)p"</f>
        <v>#VALUE!</v>
      </c>
      <c r="CZ3" t="e">
        <f ca="1">Time!CM:CM*"Ug1!)q"</f>
        <v>#VALUE!</v>
      </c>
      <c r="DA3" t="e">
        <f ca="1">Time!CN:CN*"Ug1!)r"</f>
        <v>#VALUE!</v>
      </c>
      <c r="DB3" t="e">
        <f ca="1">Time!CO:CO*"Ug1!)s"</f>
        <v>#VALUE!</v>
      </c>
      <c r="DC3" t="e">
        <f ca="1">Time!CP:CP*"Ug1!)t"</f>
        <v>#VALUE!</v>
      </c>
      <c r="DD3" t="e">
        <f ca="1">Time!CQ:CQ*"Ug1!)u"</f>
        <v>#VALUE!</v>
      </c>
      <c r="DE3" t="e">
        <f ca="1">Time!CR:CR*"Ug1!)v"</f>
        <v>#VALUE!</v>
      </c>
      <c r="DF3" t="e">
        <f ca="1">Time!CS:CS*"Ug1!)w"</f>
        <v>#VALUE!</v>
      </c>
      <c r="DG3" t="e">
        <f ca="1">Time!CT:CT*"Ug1!)x"</f>
        <v>#VALUE!</v>
      </c>
      <c r="DH3" t="e">
        <f ca="1">Time!CU:CU*"Ug1!)y"</f>
        <v>#VALUE!</v>
      </c>
      <c r="DI3" t="e">
        <f ca="1">Time!CV:CV*"Ug1!)z"</f>
        <v>#VALUE!</v>
      </c>
      <c r="DJ3" t="e">
        <f ca="1">Time!CW:CW*"Ug1!){"</f>
        <v>#VALUE!</v>
      </c>
      <c r="DK3" t="e">
        <f ca="1">Time!CX:CX*"Ug1!)|"</f>
        <v>#VALUE!</v>
      </c>
      <c r="DL3" t="e">
        <f ca="1">Time!CY:CY*"Ug1!)}"</f>
        <v>#VALUE!</v>
      </c>
      <c r="DM3" t="e">
        <f ca="1">Time!CZ:CZ*"Ug1!)~"</f>
        <v>#VALUE!</v>
      </c>
      <c r="DN3" t="e">
        <f ca="1">Time!DA:DA*"Ug1!.#"</f>
        <v>#VALUE!</v>
      </c>
      <c r="DO3" t="e">
        <f ca="1">Time!DB:DB*"Ug1!.$"</f>
        <v>#VALUE!</v>
      </c>
      <c r="DP3" t="e">
        <f ca="1">Time!DC:DC*"Ug1!.%"</f>
        <v>#VALUE!</v>
      </c>
      <c r="DQ3" t="e">
        <f ca="1">Time!DD:DD*"Ug1!.&amp;"</f>
        <v>#VALUE!</v>
      </c>
      <c r="DR3" t="e">
        <f ca="1">Time!DE:DE*"Ug1!.'"</f>
        <v>#VALUE!</v>
      </c>
      <c r="DS3" t="e">
        <f ca="1">Time!DF:DF*"Ug1!.("</f>
        <v>#VALUE!</v>
      </c>
      <c r="DT3" t="e">
        <f ca="1">Time!DG:DG*"Ug1!.)"</f>
        <v>#VALUE!</v>
      </c>
      <c r="DU3" t="e">
        <f ca="1">Time!DH:DH*"Ug1!.."</f>
        <v>#VALUE!</v>
      </c>
      <c r="DV3" t="e">
        <f ca="1">Time!DI:DI*"Ug1!./"</f>
        <v>#VALUE!</v>
      </c>
      <c r="DW3" t="e">
        <f ca="1">Time!DJ:DJ*"Ug1!.0"</f>
        <v>#VALUE!</v>
      </c>
      <c r="DX3" t="e">
        <f ca="1">Time!DK:DK*"Ug1!.1"</f>
        <v>#VALUE!</v>
      </c>
      <c r="DY3" t="e">
        <f ca="1">Time!DL:DL*"Ug1!.2"</f>
        <v>#VALUE!</v>
      </c>
      <c r="DZ3" t="e">
        <f ca="1">Time!DM:DM*"Ug1!.3"</f>
        <v>#VALUE!</v>
      </c>
      <c r="EA3" t="e">
        <f ca="1">Time!DN:DN*"Ug1!.4"</f>
        <v>#VALUE!</v>
      </c>
      <c r="EB3" t="e">
        <f ca="1">Time!DO:DO*"Ug1!.5"</f>
        <v>#VALUE!</v>
      </c>
      <c r="EC3" t="e">
        <f ca="1">Time!DP:DP*"Ug1!.6"</f>
        <v>#VALUE!</v>
      </c>
      <c r="ED3" t="e">
        <f ca="1">Time!DQ:DQ*"Ug1!.7"</f>
        <v>#VALUE!</v>
      </c>
      <c r="EE3" t="e">
        <f ca="1">Time!DR:DR*"Ug1!.8"</f>
        <v>#VALUE!</v>
      </c>
      <c r="EF3" t="e">
        <f ca="1">Time!DS:DS*"Ug1!.9"</f>
        <v>#VALUE!</v>
      </c>
      <c r="EG3" t="e">
        <f ca="1">Time!DT:DT*"Ug1!.:"</f>
        <v>#VALUE!</v>
      </c>
      <c r="EH3" t="e">
        <f ca="1">Time!DU:DU*"Ug1!.;"</f>
        <v>#VALUE!</v>
      </c>
      <c r="EI3" t="e">
        <f ca="1">Time!DV:DV*"Ug1!.&lt;"</f>
        <v>#VALUE!</v>
      </c>
      <c r="EJ3" t="e">
        <f ca="1">Time!DW:DW*"Ug1!.="</f>
        <v>#VALUE!</v>
      </c>
      <c r="EK3" t="e">
        <f ca="1">Time!DX:DX*"Ug1!.&gt;"</f>
        <v>#VALUE!</v>
      </c>
      <c r="EL3" t="e">
        <f ca="1">Time!DY:DY*"Ug1!.?"</f>
        <v>#VALUE!</v>
      </c>
      <c r="EM3" t="e">
        <f ca="1">Time!1:1-"Ug1!.@"</f>
        <v>#VALUE!</v>
      </c>
      <c r="EN3" t="e">
        <f ca="1">Time!2:2-"Ug1!.A"</f>
        <v>#VALUE!</v>
      </c>
      <c r="EO3" t="e">
        <f ca="1">Time!3:3-"Ug1!.B"</f>
        <v>#VALUE!</v>
      </c>
      <c r="EP3" t="e">
        <f ca="1">Time!4:4-"Ug1!.C"</f>
        <v>#VALUE!</v>
      </c>
      <c r="EQ3" t="e">
        <f ca="1">Time!5:5-"Ug1!.D"</f>
        <v>#VALUE!</v>
      </c>
      <c r="ER3" t="e">
        <f ca="1">Time!6:6-"Ug1!.E"</f>
        <v>#VALUE!</v>
      </c>
      <c r="ES3" t="e">
        <f ca="1">Time!7:7-"Ug1!.F"</f>
        <v>#VALUE!</v>
      </c>
      <c r="ET3" t="e">
        <f ca="1">Time!8:8-"Ug1!.G"</f>
        <v>#VALUE!</v>
      </c>
      <c r="EU3" t="e">
        <f ca="1">Time!9:9-"Ug1!.H"</f>
        <v>#VALUE!</v>
      </c>
      <c r="EV3" t="e">
        <f ca="1">Time!10:10-"Ug1!.I"</f>
        <v>#VALUE!</v>
      </c>
      <c r="EW3" t="e">
        <f ca="1">Time!11:11-"Ug1!.J"</f>
        <v>#VALUE!</v>
      </c>
      <c r="EX3" t="e">
        <f ca="1">Time!12:12-"Ug1!.K"</f>
        <v>#VALUE!</v>
      </c>
      <c r="EY3" t="e">
        <f ca="1">Time!13:13-"Ug1!.L"</f>
        <v>#VALUE!</v>
      </c>
      <c r="EZ3" t="e">
        <f ca="1">Time!14:14-"Ug1!.M"</f>
        <v>#VALUE!</v>
      </c>
      <c r="FA3" t="e">
        <f ca="1">Time!15:15-"Ug1!.N"</f>
        <v>#VALUE!</v>
      </c>
      <c r="FB3" t="e">
        <f ca="1">Time!16:16-"Ug1!.O"</f>
        <v>#VALUE!</v>
      </c>
      <c r="FC3" t="e">
        <f ca="1">Time!17:17-"Ug1!.P"</f>
        <v>#VALUE!</v>
      </c>
      <c r="FD3" t="e">
        <f ca="1">Time!18:18-"Ug1!.Q"</f>
        <v>#VALUE!</v>
      </c>
      <c r="FE3" t="e">
        <f ca="1">Time!19:19-"Ug1!.R"</f>
        <v>#VALUE!</v>
      </c>
      <c r="FF3" t="e">
        <f ca="1">Time!20:20-"Ug1!.S"</f>
        <v>#VALUE!</v>
      </c>
      <c r="FG3" t="e">
        <f ca="1">Time!21:21-"Ug1!.T"</f>
        <v>#VALUE!</v>
      </c>
      <c r="FH3" t="e">
        <f ca="1">Time!22:22-"Ug1!.U"</f>
        <v>#VALUE!</v>
      </c>
      <c r="FI3" t="e">
        <f ca="1">Time!23:23-"Ug1!.V"</f>
        <v>#VALUE!</v>
      </c>
      <c r="FJ3" t="e">
        <f ca="1">Time!24:24-"Ug1!.W"</f>
        <v>#VALUE!</v>
      </c>
      <c r="FK3" t="e">
        <f ca="1">Time!25:25-"Ug1!.X"</f>
        <v>#VALUE!</v>
      </c>
      <c r="FL3" t="e">
        <f ca="1">Time!26:26-"Ug1!.Y"</f>
        <v>#VALUE!</v>
      </c>
      <c r="FM3" t="e">
        <f ca="1">Time!27:27-"Ug1!.Z"</f>
        <v>#VALUE!</v>
      </c>
      <c r="FN3" t="e">
        <f ca="1">Time!28:28-"Ug1!.["</f>
        <v>#VALUE!</v>
      </c>
      <c r="FO3" t="e">
        <f ca="1">Time!29:29-"Ug1!.\"</f>
        <v>#VALUE!</v>
      </c>
      <c r="FP3" t="e">
        <f ca="1">Time!30:30-"Ug1!.]"</f>
        <v>#VALUE!</v>
      </c>
      <c r="FQ3" t="e">
        <f ca="1">Time!31:31-"Ug1!.^"</f>
        <v>#VALUE!</v>
      </c>
      <c r="FR3" t="e">
        <f ca="1">Time!32:32-"Ug1!._"</f>
        <v>#VALUE!</v>
      </c>
      <c r="FS3" t="e">
        <f ca="1">Time!33:33-"Ug1!.`"</f>
        <v>#VALUE!</v>
      </c>
      <c r="FT3" t="e">
        <f ca="1">Time!34:34-"Ug1!.a"</f>
        <v>#VALUE!</v>
      </c>
      <c r="FU3" t="e">
        <f ca="1">Time!35:35-"Ug1!.b"</f>
        <v>#VALUE!</v>
      </c>
      <c r="FV3" t="e">
        <f ca="1">Time!36:36-"Ug1!.c"</f>
        <v>#VALUE!</v>
      </c>
      <c r="FW3" t="e">
        <f ca="1">Time!37:37-"Ug1!.d"</f>
        <v>#VALUE!</v>
      </c>
      <c r="FX3" t="e">
        <f ca="1">Time!38:38-"Ug1!.e"</f>
        <v>#VALUE!</v>
      </c>
      <c r="FY3" t="e">
        <f ca="1">Time!39:39-"Ug1!.f"</f>
        <v>#VALUE!</v>
      </c>
      <c r="FZ3" t="e">
        <f ca="1">Time!40:40-"Ug1!.g"</f>
        <v>#VALUE!</v>
      </c>
      <c r="GA3" t="e">
        <f ca="1">Time!41:41-"Ug1!.h"</f>
        <v>#VALUE!</v>
      </c>
      <c r="GB3" t="e">
        <f ca="1">Time!42:42-"Ug1!.i"</f>
        <v>#VALUE!</v>
      </c>
      <c r="GC3" t="e">
        <f ca="1">Time!43:43-"Ug1!.j"</f>
        <v>#VALUE!</v>
      </c>
      <c r="GD3" t="e">
        <f ca="1">Time!44:44-"Ug1!.k"</f>
        <v>#VALUE!</v>
      </c>
      <c r="GE3" t="e">
        <f ca="1">Time!45:45-"Ug1!.l"</f>
        <v>#VALUE!</v>
      </c>
      <c r="GF3" t="e">
        <f ca="1">Time!46:46-"Ug1!.m"</f>
        <v>#VALUE!</v>
      </c>
      <c r="GG3" t="e">
        <f ca="1">Time!47:47-"Ug1!.n"</f>
        <v>#VALUE!</v>
      </c>
      <c r="GH3" t="e">
        <f ca="1">Time!48:48-"Ug1!.o"</f>
        <v>#VALUE!</v>
      </c>
      <c r="GI3" t="e">
        <f ca="1">Time!49:49-"Ug1!.p"</f>
        <v>#VALUE!</v>
      </c>
      <c r="GJ3" t="e">
        <f ca="1">Time!50:50-"Ug1!.q"</f>
        <v>#VALUE!</v>
      </c>
      <c r="GK3" t="e">
        <f ca="1">Time!51:51-"Ug1!.r"</f>
        <v>#VALUE!</v>
      </c>
      <c r="GL3" t="e">
        <f ca="1">Time!52:52-"Ug1!.s"</f>
        <v>#VALUE!</v>
      </c>
      <c r="GM3" t="e">
        <f ca="1">Time!53:53-"Ug1!.t"</f>
        <v>#VALUE!</v>
      </c>
      <c r="GN3" t="e">
        <f ca="1">Time!54:54-"Ug1!.u"</f>
        <v>#VALUE!</v>
      </c>
      <c r="GO3" t="e">
        <f ca="1">Time!55:55-"Ug1!.v"</f>
        <v>#VALUE!</v>
      </c>
      <c r="GP3" t="e">
        <f ca="1">Time!56:56-"Ug1!.w"</f>
        <v>#VALUE!</v>
      </c>
      <c r="GQ3" t="e">
        <f ca="1">Time!57:57-"Ug1!.x"</f>
        <v>#VALUE!</v>
      </c>
      <c r="GR3" t="e">
        <f ca="1">Time!58:58-"Ug1!.y"</f>
        <v>#VALUE!</v>
      </c>
      <c r="GS3" t="e">
        <f ca="1">Time!59:59-"Ug1!.z"</f>
        <v>#VALUE!</v>
      </c>
      <c r="GT3" t="e">
        <f ca="1">Time!60:60-"Ug1!.{"</f>
        <v>#VALUE!</v>
      </c>
      <c r="GU3" t="e">
        <f ca="1">Time!61:61-"Ug1!.|"</f>
        <v>#VALUE!</v>
      </c>
      <c r="GV3" t="e">
        <f ca="1">Time!62:62-"Ug1!.}"</f>
        <v>#VALUE!</v>
      </c>
      <c r="GW3" t="e">
        <f ca="1">Time!63:63-"Ug1!.~"</f>
        <v>#VALUE!</v>
      </c>
      <c r="GX3" t="e">
        <f ca="1">Time!64:64-"Ug1!/#"</f>
        <v>#VALUE!</v>
      </c>
      <c r="GY3" t="e">
        <f ca="1">Time!65:65-"Ug1!/$"</f>
        <v>#VALUE!</v>
      </c>
      <c r="GZ3" t="e">
        <f ca="1">Time!66:66-"Ug1!/%"</f>
        <v>#VALUE!</v>
      </c>
      <c r="HA3" t="e">
        <f ca="1">Time!67:67-"Ug1!/&amp;"</f>
        <v>#VALUE!</v>
      </c>
      <c r="HB3" t="e">
        <f ca="1">Time!68:68-"Ug1!/'"</f>
        <v>#VALUE!</v>
      </c>
      <c r="HC3" t="e">
        <f ca="1">Time!69:69-"Ug1!/("</f>
        <v>#VALUE!</v>
      </c>
      <c r="HD3" t="e">
        <f ca="1">Time!70:70-"Ug1!/)"</f>
        <v>#VALUE!</v>
      </c>
      <c r="HE3" t="e">
        <f ca="1">Time!71:71-"Ug1!/."</f>
        <v>#VALUE!</v>
      </c>
      <c r="HF3" t="e">
        <f ca="1">Time!72:72-"Ug1!//"</f>
        <v>#VALUE!</v>
      </c>
      <c r="HG3" t="e">
        <f ca="1">Time!73:73-"Ug1!/0"</f>
        <v>#VALUE!</v>
      </c>
      <c r="HH3" t="e">
        <f ca="1">Time!74:74-"Ug1!/1"</f>
        <v>#VALUE!</v>
      </c>
      <c r="HI3" t="e">
        <f ca="1">Time!75:75-"Ug1!/2"</f>
        <v>#VALUE!</v>
      </c>
      <c r="HJ3" t="e">
        <f ca="1">Time!76:76-"Ug1!/3"</f>
        <v>#VALUE!</v>
      </c>
      <c r="HK3" t="e">
        <f ca="1">Time!77:77-"Ug1!/4"</f>
        <v>#VALUE!</v>
      </c>
      <c r="HL3" t="e">
        <f ca="1">Time!78:78-"Ug1!/5"</f>
        <v>#VALUE!</v>
      </c>
      <c r="HM3" t="e">
        <f ca="1">Time!79:79-"Ug1!/6"</f>
        <v>#VALUE!</v>
      </c>
      <c r="HN3" t="e">
        <f ca="1">Time!80:80-"Ug1!/7"</f>
        <v>#VALUE!</v>
      </c>
      <c r="HO3" t="e">
        <f ca="1">Time!81:81-"Ug1!/8"</f>
        <v>#VALUE!</v>
      </c>
      <c r="HP3" t="e">
        <f ca="1">Time!82:82-"Ug1!/9"</f>
        <v>#VALUE!</v>
      </c>
      <c r="HQ3" t="e">
        <f ca="1">Time!83:83-"Ug1!/:"</f>
        <v>#VALUE!</v>
      </c>
      <c r="HR3" t="e">
        <f ca="1">Time!84:84-"Ug1!/;"</f>
        <v>#VALUE!</v>
      </c>
      <c r="HS3" t="e">
        <f ca="1">Time!85:85-"Ug1!/&lt;"</f>
        <v>#VALUE!</v>
      </c>
      <c r="HT3" t="e">
        <f ca="1">Time!86:86-"Ug1!/="</f>
        <v>#VALUE!</v>
      </c>
      <c r="HU3" t="e">
        <f ca="1">Time!87:87-"Ug1!/&gt;"</f>
        <v>#VALUE!</v>
      </c>
      <c r="HV3" t="e">
        <f ca="1">Time!88:88-"Ug1!/?"</f>
        <v>#VALUE!</v>
      </c>
      <c r="HW3" t="e">
        <f ca="1">Time!89:89-"Ug1!/@"</f>
        <v>#VALUE!</v>
      </c>
      <c r="HX3" t="e">
        <f ca="1">Time!90:90-"Ug1!/A"</f>
        <v>#VALUE!</v>
      </c>
      <c r="HY3" t="e">
        <f ca="1">Time!91:91-"Ug1!/B"</f>
        <v>#VALUE!</v>
      </c>
      <c r="HZ3" t="e">
        <f ca="1">Time!92:92-"Ug1!/C"</f>
        <v>#VALUE!</v>
      </c>
      <c r="IA3" t="e">
        <f ca="1">Time!93:93-"Ug1!/D"</f>
        <v>#VALUE!</v>
      </c>
      <c r="IB3" t="e">
        <f ca="1">Time!94:94-"Ug1!/E"</f>
        <v>#VALUE!</v>
      </c>
      <c r="IC3" t="e">
        <f ca="1">Time!95:95-"Ug1!/F"</f>
        <v>#VALUE!</v>
      </c>
      <c r="ID3" t="e">
        <f ca="1">Time!96:96-"Ug1!/G"</f>
        <v>#VALUE!</v>
      </c>
      <c r="IE3" t="e">
        <f ca="1">Time!97:97-"Ug1!/H"</f>
        <v>#VALUE!</v>
      </c>
      <c r="IF3" t="e">
        <f ca="1">Time!98:98-"Ug1!/I"</f>
        <v>#VALUE!</v>
      </c>
      <c r="IG3" t="e">
        <f ca="1">Time!99:99-"Ug1!/J"</f>
        <v>#VALUE!</v>
      </c>
      <c r="IH3" t="e">
        <f ca="1">Time!100:100-"Ug1!/K"</f>
        <v>#VALUE!</v>
      </c>
      <c r="II3" t="e">
        <f ca="1">Time!101:101-"Ug1!/L"</f>
        <v>#VALUE!</v>
      </c>
      <c r="IJ3" t="e">
        <f ca="1">Time!102:102-"Ug1!/M"</f>
        <v>#VALUE!</v>
      </c>
      <c r="IK3" t="e">
        <f ca="1">Time!103:103-"Ug1!/N"</f>
        <v>#VALUE!</v>
      </c>
      <c r="IL3" t="e">
        <f ca="1">Time!104:104-"Ug1!/O"</f>
        <v>#VALUE!</v>
      </c>
      <c r="IM3" t="e">
        <f ca="1">Time!105:105-"Ug1!/P"</f>
        <v>#VALUE!</v>
      </c>
      <c r="IN3" t="e">
        <f ca="1">Time!106:106-"Ug1!/Q"</f>
        <v>#VALUE!</v>
      </c>
      <c r="IO3" t="e">
        <f ca="1">Time!107:107-"Ug1!/R"</f>
        <v>#VALUE!</v>
      </c>
      <c r="IP3" t="e">
        <f ca="1">Time!108:108-"Ug1!/S"</f>
        <v>#VALUE!</v>
      </c>
      <c r="IQ3" t="e">
        <f ca="1">Time!109:109-"Ug1!/T"</f>
        <v>#VALUE!</v>
      </c>
      <c r="IR3" t="e">
        <f ca="1">Time!110:110-"Ug1!/U"</f>
        <v>#VALUE!</v>
      </c>
      <c r="IS3" t="e">
        <f ca="1">Time!111:111-"Ug1!/V"</f>
        <v>#VALUE!</v>
      </c>
      <c r="IT3" t="e">
        <f ca="1">Time!112:112-"Ug1!/W"</f>
        <v>#VALUE!</v>
      </c>
      <c r="IU3" t="e">
        <f ca="1">Time!113:113-"Ug1!/X"</f>
        <v>#VALUE!</v>
      </c>
      <c r="IV3" t="e">
        <f ca="1">Time!114:114-"Ug1!/Y"</f>
        <v>#VALUE!</v>
      </c>
    </row>
    <row r="4" spans="1:256" x14ac:dyDescent="0.2">
      <c r="F4" t="e">
        <f ca="1">Time!115:115-"Ug1!/Z"</f>
        <v>#VALUE!</v>
      </c>
      <c r="G4" t="e">
        <f ca="1">Time!116:116-"Ug1!/["</f>
        <v>#VALUE!</v>
      </c>
      <c r="H4" t="e">
        <f ca="1">Time!117:117-"Ug1!/\"</f>
        <v>#VALUE!</v>
      </c>
      <c r="I4" t="e">
        <f ca="1">Time!118:118-"Ug1!/]"</f>
        <v>#VALUE!</v>
      </c>
      <c r="J4" t="e">
        <f ca="1">Time!119:119-"Ug1!/^"</f>
        <v>#VALUE!</v>
      </c>
      <c r="K4" t="e">
        <f ca="1">Time!120:120-"Ug1!/_"</f>
        <v>#VALUE!</v>
      </c>
      <c r="L4" t="e">
        <f ca="1">Time!121:121-"Ug1!/`"</f>
        <v>#VALUE!</v>
      </c>
      <c r="M4" t="e">
        <f ca="1">Time!122:122-"Ug1!/a"</f>
        <v>#VALUE!</v>
      </c>
      <c r="N4" t="e">
        <f ca="1">Time!123:123-"Ug1!/b"</f>
        <v>#VALUE!</v>
      </c>
      <c r="O4" t="e">
        <f ca="1">Time!124:124-"Ug1!/c"</f>
        <v>#VALUE!</v>
      </c>
      <c r="P4" t="e">
        <f ca="1">Time!125:125-"Ug1!/d"</f>
        <v>#VALUE!</v>
      </c>
      <c r="Q4" t="e">
        <f ca="1">Time!126:126-"Ug1!/e"</f>
        <v>#VALUE!</v>
      </c>
      <c r="R4" t="e">
        <f ca="1">Time!127:127-"Ug1!/f"</f>
        <v>#VALUE!</v>
      </c>
      <c r="S4" t="e">
        <f ca="1">Time!128:128-"Ug1!/g"</f>
        <v>#VALUE!</v>
      </c>
      <c r="T4" t="e">
        <f ca="1">Time!129:129-"Ug1!/h"</f>
        <v>#VALUE!</v>
      </c>
      <c r="U4" t="e">
        <f ca="1">Time!130:130-"Ug1!/i"</f>
        <v>#VALUE!</v>
      </c>
      <c r="V4" t="e">
        <f ca="1">Time!131:131-"Ug1!/j"</f>
        <v>#VALUE!</v>
      </c>
      <c r="W4" t="e">
        <f ca="1">Time!132:132-"Ug1!/k"</f>
        <v>#VALUE!</v>
      </c>
      <c r="X4" t="e">
        <f ca="1">Time!133:133-"Ug1!/l"</f>
        <v>#VALUE!</v>
      </c>
      <c r="Y4" t="e">
        <f ca="1">Time!134:134-"Ug1!/m"</f>
        <v>#VALUE!</v>
      </c>
      <c r="Z4" t="e">
        <f ca="1">Time!135:135-"Ug1!/n"</f>
        <v>#VALUE!</v>
      </c>
      <c r="AA4" t="e">
        <f ca="1">Time!136:136-"Ug1!/o"</f>
        <v>#VALUE!</v>
      </c>
      <c r="AB4" t="e">
        <f ca="1">Time!137:137-"Ug1!/p"</f>
        <v>#VALUE!</v>
      </c>
      <c r="AC4" t="e">
        <f ca="1">Time!138:138-"Ug1!/q"</f>
        <v>#VALUE!</v>
      </c>
      <c r="AD4" t="e">
        <f ca="1">Time!139:139-"Ug1!/r"</f>
        <v>#VALUE!</v>
      </c>
      <c r="AE4" t="e">
        <f ca="1">Time!140:140-"Ug1!/s"</f>
        <v>#VALUE!</v>
      </c>
      <c r="AF4" t="e">
        <f ca="1">Time!141:141-"Ug1!/t"</f>
        <v>#VALUE!</v>
      </c>
      <c r="AG4" t="e">
        <f ca="1">Time!142:142-"Ug1!/u"</f>
        <v>#VALUE!</v>
      </c>
      <c r="AH4" t="e">
        <f ca="1">Time!143:143-"Ug1!/v"</f>
        <v>#VALUE!</v>
      </c>
      <c r="AI4" t="e">
        <f ca="1">Time!144:144-"Ug1!/w"</f>
        <v>#VALUE!</v>
      </c>
      <c r="AJ4" t="e">
        <f ca="1">Time!145:145-"Ug1!/x"</f>
        <v>#VALUE!</v>
      </c>
      <c r="AK4" t="e">
        <f ca="1">Time!146:146-"Ug1!/y"</f>
        <v>#VALUE!</v>
      </c>
      <c r="AL4" t="e">
        <f ca="1">Time!147:147-"Ug1!/z"</f>
        <v>#VALUE!</v>
      </c>
      <c r="AM4" t="e">
        <f ca="1">Time!148:148-"Ug1!/{"</f>
        <v>#VALUE!</v>
      </c>
      <c r="AN4" t="e">
        <f ca="1">Time!149:149-"Ug1!/|"</f>
        <v>#VALUE!</v>
      </c>
      <c r="AO4" t="e">
        <f ca="1">Time!150:150-"Ug1!/}"</f>
        <v>#VALUE!</v>
      </c>
      <c r="AP4" t="e">
        <f ca="1">Time!151:151-"Ug1!/~"</f>
        <v>#VALUE!</v>
      </c>
      <c r="AQ4" t="e">
        <f ca="1">Time!152:152-"Ug1!0#"</f>
        <v>#VALUE!</v>
      </c>
      <c r="AR4" t="e">
        <f ca="1">Time!153:153-"Ug1!0$"</f>
        <v>#VALUE!</v>
      </c>
      <c r="AS4" t="e">
        <f ca="1">Time!154:154-"Ug1!0%"</f>
        <v>#VALUE!</v>
      </c>
      <c r="AT4" t="e">
        <f ca="1">Time!155:155-"Ug1!0&amp;"</f>
        <v>#VALUE!</v>
      </c>
      <c r="AU4" t="e">
        <f ca="1">Time!156:156-"Ug1!0'"</f>
        <v>#VALUE!</v>
      </c>
      <c r="AV4" t="e">
        <f ca="1">Time!157:157-"Ug1!0("</f>
        <v>#VALUE!</v>
      </c>
      <c r="AW4" t="e">
        <f ca="1">Time!158:158-"Ug1!0)"</f>
        <v>#VALUE!</v>
      </c>
      <c r="AX4" t="e">
        <f ca="1">Time!159:159-"Ug1!0."</f>
        <v>#VALUE!</v>
      </c>
      <c r="AY4" t="e">
        <f ca="1">Time!160:160-"Ug1!0/"</f>
        <v>#VALUE!</v>
      </c>
      <c r="AZ4" t="e">
        <f ca="1">Time!161:161-"Ug1!00"</f>
        <v>#VALUE!</v>
      </c>
      <c r="BA4" t="e">
        <f ca="1">Time!162:162-"Ug1!01"</f>
        <v>#VALUE!</v>
      </c>
      <c r="BB4" t="e">
        <f ca="1">Time!163:163-"Ug1!02"</f>
        <v>#VALUE!</v>
      </c>
      <c r="BC4" t="e">
        <f ca="1">Time!164:164-"Ug1!03"</f>
        <v>#VALUE!</v>
      </c>
      <c r="BD4" t="e">
        <f ca="1">Time!165:165-"Ug1!04"</f>
        <v>#VALUE!</v>
      </c>
      <c r="BE4" t="e">
        <f ca="1">Time!166:166-"Ug1!05"</f>
        <v>#VALUE!</v>
      </c>
      <c r="BF4" t="e">
        <f ca="1">Time!167:167-"Ug1!06"</f>
        <v>#VALUE!</v>
      </c>
      <c r="BG4" t="e">
        <f ca="1">Time!168:168-"Ug1!07"</f>
        <v>#VALUE!</v>
      </c>
      <c r="BH4" t="e">
        <f ca="1">Time!169:169-"Ug1!08"</f>
        <v>#VALUE!</v>
      </c>
      <c r="BI4" t="e">
        <f ca="1">Time!170:170-"Ug1!09"</f>
        <v>#VALUE!</v>
      </c>
      <c r="BJ4" t="e">
        <f ca="1">Time!171:171-"Ug1!0:"</f>
        <v>#VALUE!</v>
      </c>
      <c r="BK4" t="e">
        <f ca="1">Time!172:172-"Ug1!0;"</f>
        <v>#VALUE!</v>
      </c>
      <c r="BL4" t="e">
        <f ca="1">Time!173:173-"Ug1!0&lt;"</f>
        <v>#VALUE!</v>
      </c>
      <c r="BM4" t="e">
        <f ca="1">Time!174:174-"Ug1!0="</f>
        <v>#VALUE!</v>
      </c>
      <c r="BN4" t="e">
        <f ca="1">Time!175:175-"Ug1!0&gt;"</f>
        <v>#VALUE!</v>
      </c>
      <c r="BO4" t="e">
        <f ca="1">Time!176:176-"Ug1!0?"</f>
        <v>#VALUE!</v>
      </c>
      <c r="BP4" t="e">
        <f ca="1">Time!177:177-"Ug1!0@"</f>
        <v>#VALUE!</v>
      </c>
      <c r="BQ4" t="e">
        <f ca="1">Time!178:178-"Ug1!0A"</f>
        <v>#VALUE!</v>
      </c>
      <c r="BR4" t="e">
        <f ca="1">Time!179:179-"Ug1!0B"</f>
        <v>#VALUE!</v>
      </c>
      <c r="BS4" t="e">
        <f ca="1">Time!180:180-"Ug1!0C"</f>
        <v>#VALUE!</v>
      </c>
      <c r="BT4" t="e">
        <f ca="1">Time!181:181-"Ug1!0D"</f>
        <v>#VALUE!</v>
      </c>
      <c r="BU4" t="e">
        <f ca="1">Time!182:182-"Ug1!0E"</f>
        <v>#VALUE!</v>
      </c>
      <c r="BV4" t="e">
        <f ca="1">Time!183:183-"Ug1!0F"</f>
        <v>#VALUE!</v>
      </c>
      <c r="BW4" t="e">
        <f ca="1">Time!184:184-"Ug1!0G"</f>
        <v>#VALUE!</v>
      </c>
      <c r="BX4" t="e">
        <f ca="1">Time!185:185-"Ug1!0H"</f>
        <v>#VALUE!</v>
      </c>
      <c r="BY4" t="e">
        <f ca="1">Time!186:186-"Ug1!0I"</f>
        <v>#VALUE!</v>
      </c>
      <c r="BZ4" t="e">
        <f ca="1">Time!187:187-"Ug1!0J"</f>
        <v>#VALUE!</v>
      </c>
      <c r="CA4" t="e">
        <f ca="1">Time!188:188-"Ug1!0K"</f>
        <v>#VALUE!</v>
      </c>
      <c r="CB4" t="e">
        <f ca="1">Time!189:189-"Ug1!0L"</f>
        <v>#VALUE!</v>
      </c>
      <c r="CC4" t="e">
        <f ca="1">Time!190:190-"Ug1!0M"</f>
        <v>#VALUE!</v>
      </c>
      <c r="CD4" t="e">
        <f ca="1">Time!191:191-"Ug1!0N"</f>
        <v>#VALUE!</v>
      </c>
      <c r="CE4" t="e">
        <f ca="1">Time!192:192-"Ug1!0O"</f>
        <v>#VALUE!</v>
      </c>
      <c r="CF4" t="e">
        <f ca="1">Time!193:193-"Ug1!0P"</f>
        <v>#VALUE!</v>
      </c>
      <c r="CG4" t="e">
        <f ca="1">Time!194:194-"Ug1!0Q"</f>
        <v>#VALUE!</v>
      </c>
      <c r="CH4" t="e">
        <f ca="1">Time!195:195-"Ug1!0R"</f>
        <v>#VALUE!</v>
      </c>
      <c r="CI4" t="e">
        <f ca="1">Time!196:196-"Ug1!0S"</f>
        <v>#VALUE!</v>
      </c>
      <c r="CJ4" t="e">
        <f ca="1">Time!197:197-"Ug1!0T"</f>
        <v>#VALUE!</v>
      </c>
      <c r="CK4" t="e">
        <f ca="1">Time!198:198-"Ug1!0U"</f>
        <v>#VALUE!</v>
      </c>
      <c r="CL4" t="e">
        <f ca="1">Time!199:199-"Ug1!0V"</f>
        <v>#VALUE!</v>
      </c>
      <c r="CM4" t="e">
        <f ca="1">Time!200:200-"Ug1!0W"</f>
        <v>#VALUE!</v>
      </c>
      <c r="CN4" t="e">
        <f ca="1">Time!201:201-"Ug1!0X"</f>
        <v>#VALUE!</v>
      </c>
      <c r="CO4" t="e">
        <f ca="1">Time!202:202-"Ug1!0Y"</f>
        <v>#VALUE!</v>
      </c>
      <c r="CP4" t="e">
        <f ca="1">Time!203:203-"Ug1!0Z"</f>
        <v>#VALUE!</v>
      </c>
      <c r="CQ4" t="e">
        <f ca="1">Time!204:204-"Ug1!0["</f>
        <v>#VALUE!</v>
      </c>
      <c r="CR4" t="e">
        <f ca="1">Time!205:205-"Ug1!0\"</f>
        <v>#VALUE!</v>
      </c>
      <c r="CS4" t="e">
        <f ca="1">Time!206:206-"Ug1!0]"</f>
        <v>#VALUE!</v>
      </c>
      <c r="CT4" t="e">
        <f ca="1">Time!207:207-"Ug1!0^"</f>
        <v>#VALUE!</v>
      </c>
      <c r="CU4" t="e">
        <f ca="1">Time!208:208-"Ug1!0_"</f>
        <v>#VALUE!</v>
      </c>
      <c r="CV4" t="e">
        <f ca="1">Time!209:209-"Ug1!0`"</f>
        <v>#VALUE!</v>
      </c>
      <c r="CW4" t="e">
        <f ca="1">Time!210:210-"Ug1!0a"</f>
        <v>#VALUE!</v>
      </c>
      <c r="CX4" t="e">
        <f ca="1">Time!211:211-"Ug1!0b"</f>
        <v>#VALUE!</v>
      </c>
      <c r="CY4" t="e">
        <f ca="1">Time!212:212-"Ug1!0c"</f>
        <v>#VALUE!</v>
      </c>
      <c r="CZ4" t="e">
        <f ca="1">Time!213:213-"Ug1!0d"</f>
        <v>#VALUE!</v>
      </c>
      <c r="DA4" t="e">
        <f ca="1">Time!214:214-"Ug1!0e"</f>
        <v>#VALUE!</v>
      </c>
      <c r="DB4" t="e">
        <f ca="1">Time!215:215-"Ug1!0f"</f>
        <v>#VALUE!</v>
      </c>
      <c r="DC4" t="e">
        <f ca="1">Time!216:216-"Ug1!0g"</f>
        <v>#VALUE!</v>
      </c>
      <c r="DD4" t="e">
        <f ca="1">Time!217:217-"Ug1!0h"</f>
        <v>#VALUE!</v>
      </c>
      <c r="DE4" t="e">
        <f ca="1">Time!218:218-"Ug1!0i"</f>
        <v>#VALUE!</v>
      </c>
      <c r="DF4" t="e">
        <f ca="1">Time!219:219-"Ug1!0j"</f>
        <v>#VALUE!</v>
      </c>
      <c r="DG4" t="e">
        <f ca="1">Time!220:220-"Ug1!0k"</f>
        <v>#VALUE!</v>
      </c>
      <c r="DH4" t="e">
        <f ca="1">Time!221:221-"Ug1!0l"</f>
        <v>#VALUE!</v>
      </c>
      <c r="DI4" t="e">
        <f ca="1">Time!222:222-"Ug1!0m"</f>
        <v>#VALUE!</v>
      </c>
      <c r="DJ4" t="e">
        <f ca="1">Time!223:223-"Ug1!0n"</f>
        <v>#VALUE!</v>
      </c>
      <c r="DK4" t="e">
        <f ca="1">Time!224:224-"Ug1!0o"</f>
        <v>#VALUE!</v>
      </c>
      <c r="DL4" t="e">
        <f ca="1">Time!225:225-"Ug1!0p"</f>
        <v>#VALUE!</v>
      </c>
      <c r="DM4" t="e">
        <f ca="1">Time!226:226-"Ug1!0q"</f>
        <v>#VALUE!</v>
      </c>
      <c r="DN4" t="e">
        <f ca="1">Time!227:227-"Ug1!0r"</f>
        <v>#VALUE!</v>
      </c>
      <c r="DO4" t="e">
        <f ca="1">Time!228:228-"Ug1!0s"</f>
        <v>#VALUE!</v>
      </c>
      <c r="DP4" t="e">
        <f ca="1">Time!229:229-"Ug1!0t"</f>
        <v>#VALUE!</v>
      </c>
      <c r="DQ4" t="e">
        <f ca="1">Time!230:230-"Ug1!0u"</f>
        <v>#VALUE!</v>
      </c>
      <c r="DR4" t="e">
        <f ca="1">Time!231:231-"Ug1!0v"</f>
        <v>#VALUE!</v>
      </c>
      <c r="DS4" t="e">
        <f ca="1">Time!232:232-"Ug1!0w"</f>
        <v>#VALUE!</v>
      </c>
      <c r="DT4" t="e">
        <f ca="1">Time!233:233-"Ug1!0x"</f>
        <v>#VALUE!</v>
      </c>
      <c r="DU4" t="e">
        <f ca="1">Time!234:234-"Ug1!0y"</f>
        <v>#VALUE!</v>
      </c>
      <c r="DV4" t="e">
        <f ca="1">Time!235:235-"Ug1!0z"</f>
        <v>#VALUE!</v>
      </c>
      <c r="DW4" t="e">
        <f ca="1">Time!236:236-"Ug1!0{"</f>
        <v>#VALUE!</v>
      </c>
      <c r="DX4" t="e">
        <f ca="1">Time!237:237-"Ug1!0|"</f>
        <v>#VALUE!</v>
      </c>
      <c r="DY4" t="e">
        <f ca="1">Time!238:238-"Ug1!0}"</f>
        <v>#VALUE!</v>
      </c>
      <c r="DZ4" t="e">
        <f ca="1">Time!239:239-"Ug1!0~"</f>
        <v>#VALUE!</v>
      </c>
      <c r="EA4" t="e">
        <f ca="1">Time!240:240-"Ug1!1#"</f>
        <v>#VALUE!</v>
      </c>
      <c r="EB4" t="e">
        <f ca="1">Time!241:241-"Ug1!1$"</f>
        <v>#VALUE!</v>
      </c>
      <c r="EC4" t="e">
        <f ca="1">Time!242:242-"Ug1!1%"</f>
        <v>#VALUE!</v>
      </c>
      <c r="ED4" t="e">
        <f ca="1">Time!243:243-"Ug1!1&amp;"</f>
        <v>#VALUE!</v>
      </c>
      <c r="EE4" t="e">
        <f ca="1">Time!244:244-"Ug1!1'"</f>
        <v>#VALUE!</v>
      </c>
      <c r="EF4" t="e">
        <f ca="1">Time!245:245-"Ug1!1("</f>
        <v>#VALUE!</v>
      </c>
      <c r="EG4" t="e">
        <f ca="1">Time!246:246-"Ug1!1)"</f>
        <v>#VALUE!</v>
      </c>
      <c r="EH4" t="e">
        <f ca="1">Time!247:247-"Ug1!1."</f>
        <v>#VALUE!</v>
      </c>
      <c r="EI4" t="e">
        <f ca="1">Time!248:248-"Ug1!1/"</f>
        <v>#VALUE!</v>
      </c>
      <c r="EJ4" t="e">
        <f ca="1">Time!249:249-"Ug1!10"</f>
        <v>#VALUE!</v>
      </c>
      <c r="EK4" t="e">
        <f ca="1">Time!250:250-"Ug1!11"</f>
        <v>#VALUE!</v>
      </c>
      <c r="EL4" t="e">
        <f ca="1">Time!251:251-"Ug1!12"</f>
        <v>#VALUE!</v>
      </c>
      <c r="EM4" t="e">
        <f ca="1">Time!252:252-"Ug1!13"</f>
        <v>#VALUE!</v>
      </c>
      <c r="EN4" t="e">
        <f ca="1">Time!253:253-"Ug1!14"</f>
        <v>#VALUE!</v>
      </c>
      <c r="EO4" t="e">
        <f ca="1">Time!254:254-"Ug1!15"</f>
        <v>#VALUE!</v>
      </c>
      <c r="EP4" t="e">
        <f ca="1">Time!255:255-"Ug1!16"</f>
        <v>#VALUE!</v>
      </c>
      <c r="EQ4" t="e">
        <f ca="1">Time!256:256-"Ug1!17"</f>
        <v>#VALUE!</v>
      </c>
      <c r="ER4" t="e">
        <f ca="1">Time!257:257-"Ug1!18"</f>
        <v>#VALUE!</v>
      </c>
      <c r="ES4" t="e">
        <f ca="1">Time!258:258-"Ug1!19"</f>
        <v>#VALUE!</v>
      </c>
      <c r="ET4" t="e">
        <f ca="1">Time!259:259-"Ug1!1:"</f>
        <v>#VALUE!</v>
      </c>
      <c r="EU4" t="e">
        <f ca="1">Time!260:260-"Ug1!1;"</f>
        <v>#VALUE!</v>
      </c>
      <c r="EV4" t="e">
        <f ca="1">Time!261:261-"Ug1!1&lt;"</f>
        <v>#VALUE!</v>
      </c>
      <c r="EW4" t="e">
        <f ca="1">Time!262:262-"Ug1!1="</f>
        <v>#VALUE!</v>
      </c>
      <c r="EX4" t="e">
        <f ca="1">Time!263:263-"Ug1!1&gt;"</f>
        <v>#VALUE!</v>
      </c>
      <c r="EY4" t="e">
        <f ca="1">Time!264:264-"Ug1!1?"</f>
        <v>#VALUE!</v>
      </c>
      <c r="EZ4" t="e">
        <f ca="1">Time!265:265-"Ug1!1@"</f>
        <v>#VALUE!</v>
      </c>
      <c r="FA4" t="e">
        <f ca="1">Time!A1+"Ug1!1A"</f>
        <v>#VALUE!</v>
      </c>
      <c r="FB4" t="e">
        <f ca="1">Time!B1+"Ug1!1B"</f>
        <v>#VALUE!</v>
      </c>
      <c r="FC4" t="e">
        <f ca="1">Time!C1+"Ug1!1C"</f>
        <v>#VALUE!</v>
      </c>
      <c r="FD4" t="e">
        <f ca="1">Time!D1+"Ug1!1D"</f>
        <v>#VALUE!</v>
      </c>
      <c r="FE4" t="e">
        <f ca="1">Time!E1+"Ug1!1E"</f>
        <v>#VALUE!</v>
      </c>
      <c r="FF4" t="e">
        <f ca="1">Time!F1+"Ug1!1F"</f>
        <v>#VALUE!</v>
      </c>
      <c r="FG4" t="e">
        <f ca="1">Time!G1+"Ug1!1G"</f>
        <v>#VALUE!</v>
      </c>
      <c r="FH4" t="e">
        <f ca="1">Time!H1+"Ug1!1H"</f>
        <v>#VALUE!</v>
      </c>
      <c r="FI4" t="e">
        <f ca="1">Time!I1+"Ug1!1I"</f>
        <v>#VALUE!</v>
      </c>
      <c r="FJ4" t="e">
        <f ca="1">Time!J1+"Ug1!1J"</f>
        <v>#VALUE!</v>
      </c>
      <c r="FK4" t="e">
        <f ca="1">Time!K1+"Ug1!1K"</f>
        <v>#VALUE!</v>
      </c>
      <c r="FL4" t="e">
        <f ca="1">Time!L1+"Ug1!1L"</f>
        <v>#VALUE!</v>
      </c>
      <c r="FM4" t="e">
        <f ca="1">Time!M1+"Ug1!1M"</f>
        <v>#VALUE!</v>
      </c>
      <c r="FN4" t="e">
        <f ca="1">Time!N1+"Ug1!1N"</f>
        <v>#VALUE!</v>
      </c>
      <c r="FO4" t="e">
        <f ca="1">Time!O1+"Ug1!1O"</f>
        <v>#VALUE!</v>
      </c>
      <c r="FP4" t="e">
        <f ca="1">Time!P1+"Ug1!1P"</f>
        <v>#VALUE!</v>
      </c>
      <c r="FQ4" t="e">
        <f ca="1">Time!Q1+"Ug1!1Q"</f>
        <v>#VALUE!</v>
      </c>
      <c r="FR4" t="e">
        <f ca="1">Time!R1+"Ug1!1R"</f>
        <v>#VALUE!</v>
      </c>
      <c r="FS4" t="e">
        <f ca="1">Time!S1+"Ug1!1S"</f>
        <v>#VALUE!</v>
      </c>
      <c r="FT4" t="e">
        <f ca="1">Time!T1+"Ug1!1T"</f>
        <v>#VALUE!</v>
      </c>
      <c r="FU4" t="e">
        <f ca="1">Time!U1+"Ug1!1U"</f>
        <v>#VALUE!</v>
      </c>
      <c r="FV4" t="e">
        <f ca="1">Time!V1+"Ug1!1V"</f>
        <v>#VALUE!</v>
      </c>
      <c r="FW4" t="e">
        <f ca="1">Time!W1+"Ug1!1W"</f>
        <v>#VALUE!</v>
      </c>
      <c r="FX4" t="e">
        <f ca="1">Time!X1+"Ug1!1X"</f>
        <v>#VALUE!</v>
      </c>
      <c r="FY4" t="e">
        <f ca="1">Time!Y1+"Ug1!1Y"</f>
        <v>#VALUE!</v>
      </c>
      <c r="FZ4" t="e">
        <f ca="1">Time!Z1+"Ug1!1Z"</f>
        <v>#VALUE!</v>
      </c>
      <c r="GA4" t="e">
        <f ca="1">Time!AA1+"Ug1!1["</f>
        <v>#VALUE!</v>
      </c>
      <c r="GB4" t="e">
        <f ca="1">Time!AB1+"Ug1!1\"</f>
        <v>#VALUE!</v>
      </c>
      <c r="GC4" t="e">
        <f ca="1">Time!AC1+"Ug1!1]"</f>
        <v>#VALUE!</v>
      </c>
      <c r="GD4" t="e">
        <f ca="1">Time!AD1+"Ug1!1^"</f>
        <v>#VALUE!</v>
      </c>
      <c r="GE4" t="e">
        <f ca="1">Time!AE1+"Ug1!1_"</f>
        <v>#VALUE!</v>
      </c>
      <c r="GF4" t="e">
        <f ca="1">Time!AF1+"Ug1!1`"</f>
        <v>#VALUE!</v>
      </c>
      <c r="GG4" t="e">
        <f ca="1">Time!AG1+"Ug1!1a"</f>
        <v>#VALUE!</v>
      </c>
      <c r="GH4" t="e">
        <f ca="1">Time!AH1+"Ug1!1b"</f>
        <v>#VALUE!</v>
      </c>
      <c r="GI4" t="e">
        <f ca="1">Time!AI1+"Ug1!1c"</f>
        <v>#VALUE!</v>
      </c>
      <c r="GJ4" t="e">
        <f ca="1">Time!AJ1+"Ug1!1d"</f>
        <v>#VALUE!</v>
      </c>
      <c r="GK4" t="e">
        <f ca="1">Time!AK1+"Ug1!1e"</f>
        <v>#VALUE!</v>
      </c>
      <c r="GL4" t="e">
        <f ca="1">Time!AL1+"Ug1!1f"</f>
        <v>#VALUE!</v>
      </c>
      <c r="GM4" t="e">
        <f ca="1">Time!AM1+"Ug1!1g"</f>
        <v>#VALUE!</v>
      </c>
      <c r="GN4" t="e">
        <f ca="1">Time!AN1+"Ug1!1h"</f>
        <v>#VALUE!</v>
      </c>
      <c r="GO4" t="e">
        <f ca="1">Time!AO1+"Ug1!1i"</f>
        <v>#VALUE!</v>
      </c>
      <c r="GP4" t="e">
        <f ca="1">Time!AP1+"Ug1!1j"</f>
        <v>#VALUE!</v>
      </c>
      <c r="GQ4" t="e">
        <f ca="1">Time!AQ1+"Ug1!1k"</f>
        <v>#VALUE!</v>
      </c>
      <c r="GR4" t="e">
        <f ca="1">Time!AR1+"Ug1!1l"</f>
        <v>#VALUE!</v>
      </c>
      <c r="GS4" t="e">
        <f ca="1">Time!AS1+"Ug1!1m"</f>
        <v>#VALUE!</v>
      </c>
      <c r="GT4" t="e">
        <f ca="1">Time!AT1+"Ug1!1n"</f>
        <v>#VALUE!</v>
      </c>
      <c r="GU4" t="e">
        <f ca="1">Time!AU1+"Ug1!1o"</f>
        <v>#VALUE!</v>
      </c>
      <c r="GV4" t="e">
        <f ca="1">Time!AV1+"Ug1!1p"</f>
        <v>#VALUE!</v>
      </c>
      <c r="GW4" t="e">
        <f ca="1">Time!AW1+"Ug1!1q"</f>
        <v>#VALUE!</v>
      </c>
      <c r="GX4" t="e">
        <f ca="1">Time!AX1+"Ug1!1r"</f>
        <v>#VALUE!</v>
      </c>
      <c r="GY4" t="e">
        <f ca="1">Time!AY1+"Ug1!1s"</f>
        <v>#VALUE!</v>
      </c>
      <c r="GZ4" t="e">
        <f ca="1">Time!AZ1+"Ug1!1t"</f>
        <v>#VALUE!</v>
      </c>
      <c r="HA4" t="e">
        <f ca="1">Time!BA1+"Ug1!1u"</f>
        <v>#VALUE!</v>
      </c>
      <c r="HB4" t="e">
        <f ca="1">Time!BB1+"Ug1!1v"</f>
        <v>#VALUE!</v>
      </c>
      <c r="HC4" t="e">
        <f ca="1">Time!BC1+"Ug1!1w"</f>
        <v>#VALUE!</v>
      </c>
      <c r="HD4" t="e">
        <f ca="1">Time!BD1+"Ug1!1x"</f>
        <v>#VALUE!</v>
      </c>
      <c r="HE4" t="e">
        <f ca="1">Time!BE1+"Ug1!1y"</f>
        <v>#VALUE!</v>
      </c>
      <c r="HF4" t="e">
        <f ca="1">Time!BF1+"Ug1!1z"</f>
        <v>#VALUE!</v>
      </c>
      <c r="HG4" t="e">
        <f ca="1">Time!BG1+"Ug1!1{"</f>
        <v>#VALUE!</v>
      </c>
      <c r="HH4" t="e">
        <f ca="1">Time!BH1+"Ug1!1|"</f>
        <v>#VALUE!</v>
      </c>
      <c r="HI4" t="e">
        <f ca="1">Time!BI1+"Ug1!1}"</f>
        <v>#VALUE!</v>
      </c>
      <c r="HJ4" t="e">
        <f ca="1">Time!BJ1+"Ug1!1~"</f>
        <v>#VALUE!</v>
      </c>
      <c r="HK4" t="e">
        <f ca="1">Time!BK1+"Ug1!2#"</f>
        <v>#VALUE!</v>
      </c>
      <c r="HL4" t="e">
        <f ca="1">Time!BL1+"Ug1!2$"</f>
        <v>#VALUE!</v>
      </c>
      <c r="HM4" t="e">
        <f ca="1">Time!BM1+"Ug1!2%"</f>
        <v>#VALUE!</v>
      </c>
      <c r="HN4" t="e">
        <f ca="1">Time!BN1+"Ug1!2&amp;"</f>
        <v>#VALUE!</v>
      </c>
      <c r="HO4" t="e">
        <f ca="1">Time!BO1+"Ug1!2'"</f>
        <v>#VALUE!</v>
      </c>
      <c r="HP4" t="e">
        <f ca="1">Time!BP1+"Ug1!2("</f>
        <v>#VALUE!</v>
      </c>
      <c r="HQ4" t="e">
        <f ca="1">Time!BQ1+"Ug1!2)"</f>
        <v>#VALUE!</v>
      </c>
      <c r="HR4" t="e">
        <f ca="1">Time!BR1+"Ug1!2."</f>
        <v>#VALUE!</v>
      </c>
      <c r="HS4" t="e">
        <f ca="1">Time!BS1+"Ug1!2/"</f>
        <v>#VALUE!</v>
      </c>
      <c r="HT4" t="e">
        <f ca="1">Time!BT1+"Ug1!20"</f>
        <v>#VALUE!</v>
      </c>
      <c r="HU4" t="e">
        <f ca="1">Time!BU1+"Ug1!21"</f>
        <v>#VALUE!</v>
      </c>
      <c r="HV4" t="e">
        <f ca="1">Time!BV1+"Ug1!22"</f>
        <v>#VALUE!</v>
      </c>
      <c r="HW4" t="e">
        <f ca="1">Time!BW1+"Ug1!23"</f>
        <v>#VALUE!</v>
      </c>
      <c r="HX4" t="e">
        <f ca="1">Time!BX1+"Ug1!24"</f>
        <v>#VALUE!</v>
      </c>
      <c r="HY4" t="e">
        <f ca="1">Time!BY1+"Ug1!25"</f>
        <v>#VALUE!</v>
      </c>
      <c r="HZ4" t="e">
        <f ca="1">Time!B2+"Ug1!26"</f>
        <v>#VALUE!</v>
      </c>
      <c r="IA4" t="e">
        <f ca="1">Time!C2+"Ug1!27"</f>
        <v>#VALUE!</v>
      </c>
      <c r="IB4" t="e">
        <f ca="1">Time!E2+"Ug1!28"</f>
        <v>#VALUE!</v>
      </c>
      <c r="IC4" t="e">
        <f ca="1">Time!F2+"Ug1!29"</f>
        <v>#VALUE!</v>
      </c>
      <c r="ID4" t="e">
        <f ca="1">Time!G2+"Ug1!2:"</f>
        <v>#VALUE!</v>
      </c>
      <c r="IE4" t="e">
        <f ca="1">Time!H2+"Ug1!2;"</f>
        <v>#VALUE!</v>
      </c>
      <c r="IF4" t="e">
        <f ca="1">Time!J2+"Ug1!2&lt;"</f>
        <v>#VALUE!</v>
      </c>
      <c r="IG4" t="e">
        <f ca="1">Time!K2+"Ug1!2="</f>
        <v>#VALUE!</v>
      </c>
      <c r="IH4" t="e">
        <f ca="1">Time!L2+"Ug1!2&gt;"</f>
        <v>#VALUE!</v>
      </c>
      <c r="II4" t="e">
        <f ca="1">Time!M2+"Ug1!2?"</f>
        <v>#VALUE!</v>
      </c>
      <c r="IJ4" t="e">
        <f ca="1">Time!N2+"Ug1!2@"</f>
        <v>#VALUE!</v>
      </c>
      <c r="IK4" t="e">
        <f ca="1">Time!O2+"Ug1!2A"</f>
        <v>#VALUE!</v>
      </c>
      <c r="IL4" t="e">
        <f ca="1">Time!P2+"Ug1!2B"</f>
        <v>#VALUE!</v>
      </c>
      <c r="IM4" t="e">
        <f ca="1">Time!Q2+"Ug1!2C"</f>
        <v>#VALUE!</v>
      </c>
      <c r="IN4" t="e">
        <f ca="1">Time!R2+"Ug1!2D"</f>
        <v>#VALUE!</v>
      </c>
      <c r="IO4" t="e">
        <f ca="1">Time!S2+"Ug1!2E"</f>
        <v>#VALUE!</v>
      </c>
      <c r="IP4" t="e">
        <f ca="1">Time!T2+"Ug1!2F"</f>
        <v>#VALUE!</v>
      </c>
      <c r="IQ4" t="e">
        <f ca="1">Time!U2+"Ug1!2G"</f>
        <v>#VALUE!</v>
      </c>
      <c r="IR4" t="e">
        <f ca="1">Time!V2+"Ug1!2H"</f>
        <v>#VALUE!</v>
      </c>
      <c r="IS4" t="e">
        <f ca="1">Time!W2+"Ug1!2I"</f>
        <v>#VALUE!</v>
      </c>
      <c r="IT4" t="e">
        <f ca="1">Time!X2+"Ug1!2J"</f>
        <v>#VALUE!</v>
      </c>
      <c r="IU4" t="e">
        <f ca="1">Time!Y2+"Ug1!2K"</f>
        <v>#VALUE!</v>
      </c>
      <c r="IV4" t="e">
        <f ca="1">Time!Z2+"Ug1!2L"</f>
        <v>#VALUE!</v>
      </c>
    </row>
    <row r="5" spans="1:256" x14ac:dyDescent="0.2">
      <c r="F5" t="e">
        <f ca="1">Time!AA2+"Ug1!2M"</f>
        <v>#VALUE!</v>
      </c>
      <c r="G5" t="e">
        <f ca="1">Time!AB2+"Ug1!2N"</f>
        <v>#VALUE!</v>
      </c>
      <c r="H5" t="e">
        <f ca="1">Time!AC2+"Ug1!2O"</f>
        <v>#VALUE!</v>
      </c>
      <c r="I5" t="e">
        <f ca="1">Time!AD2+"Ug1!2P"</f>
        <v>#VALUE!</v>
      </c>
      <c r="J5" t="e">
        <f ca="1">Time!AE2+"Ug1!2Q"</f>
        <v>#VALUE!</v>
      </c>
      <c r="K5" t="e">
        <f ca="1">Time!AF2+"Ug1!2R"</f>
        <v>#VALUE!</v>
      </c>
      <c r="L5" t="e">
        <f ca="1">Time!AG2+"Ug1!2S"</f>
        <v>#VALUE!</v>
      </c>
      <c r="M5" t="e">
        <f ca="1">Time!AH2+"Ug1!2T"</f>
        <v>#VALUE!</v>
      </c>
      <c r="N5" t="e">
        <f ca="1">Time!AI2+"Ug1!2U"</f>
        <v>#VALUE!</v>
      </c>
      <c r="O5" t="e">
        <f ca="1">Time!AJ2+"Ug1!2V"</f>
        <v>#VALUE!</v>
      </c>
      <c r="P5" t="e">
        <f ca="1">Time!AK2+"Ug1!2W"</f>
        <v>#VALUE!</v>
      </c>
      <c r="Q5" t="e">
        <f ca="1">Time!AL2+"Ug1!2X"</f>
        <v>#VALUE!</v>
      </c>
      <c r="R5" t="e">
        <f ca="1">Time!AM2+"Ug1!2Y"</f>
        <v>#VALUE!</v>
      </c>
      <c r="S5" t="e">
        <f ca="1">Time!AN2+"Ug1!2Z"</f>
        <v>#VALUE!</v>
      </c>
      <c r="T5" t="e">
        <f ca="1">Time!AO2+"Ug1!2["</f>
        <v>#VALUE!</v>
      </c>
      <c r="U5" t="e">
        <f ca="1">Time!AP2+"Ug1!2\"</f>
        <v>#VALUE!</v>
      </c>
      <c r="V5" t="e">
        <f ca="1">Time!AQ2+"Ug1!2]"</f>
        <v>#VALUE!</v>
      </c>
      <c r="W5" t="e">
        <f ca="1">Time!AR2+"Ug1!2^"</f>
        <v>#VALUE!</v>
      </c>
      <c r="X5" t="e">
        <f ca="1">Time!AS2+"Ug1!2_"</f>
        <v>#VALUE!</v>
      </c>
      <c r="Y5" t="e">
        <f ca="1">Time!AT2+"Ug1!2`"</f>
        <v>#VALUE!</v>
      </c>
      <c r="Z5" t="e">
        <f ca="1">Time!AU2+"Ug1!2a"</f>
        <v>#VALUE!</v>
      </c>
      <c r="AA5" t="e">
        <f ca="1">Time!AV2+"Ug1!2b"</f>
        <v>#VALUE!</v>
      </c>
      <c r="AB5" t="e">
        <f ca="1">Time!AW2+"Ug1!2c"</f>
        <v>#VALUE!</v>
      </c>
      <c r="AC5" t="e">
        <f ca="1">Time!AX2+"Ug1!2d"</f>
        <v>#VALUE!</v>
      </c>
      <c r="AD5" t="e">
        <f ca="1">Time!AY2+"Ug1!2e"</f>
        <v>#VALUE!</v>
      </c>
      <c r="AE5" t="e">
        <f ca="1">Time!AZ2+"Ug1!2f"</f>
        <v>#VALUE!</v>
      </c>
      <c r="AF5" t="e">
        <f ca="1">Time!BA2+"Ug1!2g"</f>
        <v>#VALUE!</v>
      </c>
      <c r="AG5" t="e">
        <f ca="1">Time!BB2+"Ug1!2h"</f>
        <v>#VALUE!</v>
      </c>
      <c r="AH5" t="e">
        <f ca="1">Time!BC2+"Ug1!2i"</f>
        <v>#VALUE!</v>
      </c>
      <c r="AI5" t="e">
        <f ca="1">Time!BD2+"Ug1!2j"</f>
        <v>#VALUE!</v>
      </c>
      <c r="AJ5" t="e">
        <f ca="1">Time!BE2+"Ug1!2k"</f>
        <v>#VALUE!</v>
      </c>
      <c r="AK5" t="e">
        <f ca="1">Time!BF2+"Ug1!2l"</f>
        <v>#VALUE!</v>
      </c>
      <c r="AL5" t="e">
        <f ca="1">Time!BG2+"Ug1!2m"</f>
        <v>#VALUE!</v>
      </c>
      <c r="AM5" t="e">
        <f ca="1">Time!BH2+"Ug1!2n"</f>
        <v>#VALUE!</v>
      </c>
      <c r="AN5" t="e">
        <f ca="1">Time!BI2+"Ug1!2o"</f>
        <v>#VALUE!</v>
      </c>
      <c r="AO5" t="e">
        <f ca="1">Time!BJ2+"Ug1!2p"</f>
        <v>#VALUE!</v>
      </c>
      <c r="AP5" t="e">
        <f ca="1">Time!BK2+"Ug1!2q"</f>
        <v>#VALUE!</v>
      </c>
      <c r="AQ5" t="e">
        <f ca="1">Time!BL2+"Ug1!2r"</f>
        <v>#VALUE!</v>
      </c>
      <c r="AR5" t="e">
        <f ca="1">Time!BM2+"Ug1!2s"</f>
        <v>#VALUE!</v>
      </c>
      <c r="AS5" t="e">
        <f ca="1">Time!BN2+"Ug1!2t"</f>
        <v>#VALUE!</v>
      </c>
      <c r="AT5" t="e">
        <f ca="1">Time!BO2+"Ug1!2u"</f>
        <v>#VALUE!</v>
      </c>
      <c r="AU5" t="e">
        <f ca="1">Time!BP2+"Ug1!2v"</f>
        <v>#VALUE!</v>
      </c>
      <c r="AV5" t="e">
        <f ca="1">Time!BQ2+"Ug1!2w"</f>
        <v>#VALUE!</v>
      </c>
      <c r="AW5" t="e">
        <f ca="1">Time!BR2+"Ug1!2x"</f>
        <v>#VALUE!</v>
      </c>
      <c r="AX5" t="e">
        <f ca="1">Time!BS2+"Ug1!2y"</f>
        <v>#VALUE!</v>
      </c>
      <c r="AY5" t="e">
        <f ca="1">Time!BT2+"Ug1!2z"</f>
        <v>#VALUE!</v>
      </c>
      <c r="AZ5" t="e">
        <f ca="1">Time!BU2+"Ug1!2{"</f>
        <v>#VALUE!</v>
      </c>
      <c r="BA5" t="e">
        <f ca="1">Time!BV2+"Ug1!2|"</f>
        <v>#VALUE!</v>
      </c>
      <c r="BB5" t="e">
        <f ca="1">Time!BW2+"Ug1!2}"</f>
        <v>#VALUE!</v>
      </c>
      <c r="BC5" t="e">
        <f ca="1">Time!BX2+"Ug1!2~"</f>
        <v>#VALUE!</v>
      </c>
      <c r="BD5" t="e">
        <f ca="1">Time!BY2+"Ug1!3#"</f>
        <v>#VALUE!</v>
      </c>
      <c r="BE5" t="e">
        <f ca="1">Time!A3+"Ug1!3$"</f>
        <v>#VALUE!</v>
      </c>
      <c r="BF5" t="e">
        <f ca="1">Time!B3+"Ug1!3%"</f>
        <v>#VALUE!</v>
      </c>
      <c r="BG5" t="e">
        <f ca="1">Time!C3+"Ug1!3&amp;"</f>
        <v>#VALUE!</v>
      </c>
      <c r="BH5" t="e">
        <f ca="1">Time!D3+"Ug1!3'"</f>
        <v>#VALUE!</v>
      </c>
      <c r="BI5" t="e">
        <f ca="1">Time!E3+"Ug1!3("</f>
        <v>#VALUE!</v>
      </c>
      <c r="BJ5" t="e">
        <f ca="1">Time!F3+"Ug1!3)"</f>
        <v>#VALUE!</v>
      </c>
      <c r="BK5" t="e">
        <f ca="1">Time!G3+"Ug1!3."</f>
        <v>#VALUE!</v>
      </c>
      <c r="BL5" t="e">
        <f ca="1">Time!H3+"Ug1!3/"</f>
        <v>#VALUE!</v>
      </c>
      <c r="BM5" t="e">
        <f ca="1">Time!J3+"Ug1!30"</f>
        <v>#VALUE!</v>
      </c>
      <c r="BN5" t="e">
        <f ca="1">Time!K3+"Ug1!31"</f>
        <v>#VALUE!</v>
      </c>
      <c r="BO5" t="e">
        <f ca="1">Time!L3+"Ug1!32"</f>
        <v>#VALUE!</v>
      </c>
      <c r="BP5" t="e">
        <f ca="1">Time!M3+"Ug1!33"</f>
        <v>#VALUE!</v>
      </c>
      <c r="BQ5" t="e">
        <f ca="1">Time!N3+"Ug1!34"</f>
        <v>#VALUE!</v>
      </c>
      <c r="BR5" t="e">
        <f ca="1">Time!O3+"Ug1!35"</f>
        <v>#VALUE!</v>
      </c>
      <c r="BS5" t="e">
        <f ca="1">Time!P3+"Ug1!36"</f>
        <v>#VALUE!</v>
      </c>
      <c r="BT5" t="e">
        <f ca="1">Time!Q3+"Ug1!37"</f>
        <v>#VALUE!</v>
      </c>
      <c r="BU5" t="e">
        <f ca="1">Time!R3+"Ug1!38"</f>
        <v>#VALUE!</v>
      </c>
      <c r="BV5" t="e">
        <f ca="1">Time!S3+"Ug1!39"</f>
        <v>#VALUE!</v>
      </c>
      <c r="BW5" t="e">
        <f ca="1">Time!T3+"Ug1!3:"</f>
        <v>#VALUE!</v>
      </c>
      <c r="BX5" t="e">
        <f ca="1">Time!U3+"Ug1!3;"</f>
        <v>#VALUE!</v>
      </c>
      <c r="BY5" t="e">
        <f ca="1">Time!V3+"Ug1!3&lt;"</f>
        <v>#VALUE!</v>
      </c>
      <c r="BZ5" t="e">
        <f ca="1">Time!W3+"Ug1!3="</f>
        <v>#VALUE!</v>
      </c>
      <c r="CA5" t="e">
        <f ca="1">Time!X3+"Ug1!3&gt;"</f>
        <v>#VALUE!</v>
      </c>
      <c r="CB5" t="e">
        <f ca="1">Time!Y3+"Ug1!3?"</f>
        <v>#VALUE!</v>
      </c>
      <c r="CC5" t="e">
        <f ca="1">Time!Z3+"Ug1!3@"</f>
        <v>#VALUE!</v>
      </c>
      <c r="CD5" t="e">
        <f ca="1">Time!AA3+"Ug1!3A"</f>
        <v>#VALUE!</v>
      </c>
      <c r="CE5" t="e">
        <f ca="1">Time!AB3+"Ug1!3B"</f>
        <v>#VALUE!</v>
      </c>
      <c r="CF5" t="e">
        <f ca="1">Time!AC3+"Ug1!3C"</f>
        <v>#VALUE!</v>
      </c>
      <c r="CG5" t="e">
        <f ca="1">Time!AD3+"Ug1!3D"</f>
        <v>#VALUE!</v>
      </c>
      <c r="CH5" t="e">
        <f ca="1">Time!AE3+"Ug1!3E"</f>
        <v>#VALUE!</v>
      </c>
      <c r="CI5" t="e">
        <f ca="1">Time!AF3+"Ug1!3F"</f>
        <v>#VALUE!</v>
      </c>
      <c r="CJ5" t="e">
        <f ca="1">Time!AG3+"Ug1!3G"</f>
        <v>#VALUE!</v>
      </c>
      <c r="CK5" t="e">
        <f ca="1">Time!AH3+"Ug1!3H"</f>
        <v>#VALUE!</v>
      </c>
      <c r="CL5" t="e">
        <f ca="1">Time!AI3+"Ug1!3I"</f>
        <v>#VALUE!</v>
      </c>
      <c r="CM5" t="e">
        <f ca="1">Time!AJ3+"Ug1!3J"</f>
        <v>#VALUE!</v>
      </c>
      <c r="CN5" t="e">
        <f ca="1">Time!AK3+"Ug1!3K"</f>
        <v>#VALUE!</v>
      </c>
      <c r="CO5" t="e">
        <f ca="1">Time!AL3+"Ug1!3L"</f>
        <v>#VALUE!</v>
      </c>
      <c r="CP5" t="e">
        <f ca="1">Time!AM3+"Ug1!3M"</f>
        <v>#VALUE!</v>
      </c>
      <c r="CQ5" t="e">
        <f ca="1">Time!AN3+"Ug1!3N"</f>
        <v>#VALUE!</v>
      </c>
      <c r="CR5" t="e">
        <f ca="1">Time!AO3+"Ug1!3O"</f>
        <v>#VALUE!</v>
      </c>
      <c r="CS5" t="e">
        <f ca="1">Time!AP3+"Ug1!3P"</f>
        <v>#VALUE!</v>
      </c>
      <c r="CT5" t="e">
        <f ca="1">Time!AQ3+"Ug1!3Q"</f>
        <v>#VALUE!</v>
      </c>
      <c r="CU5" t="e">
        <f ca="1">Time!AR3+"Ug1!3R"</f>
        <v>#VALUE!</v>
      </c>
      <c r="CV5" t="e">
        <f ca="1">Time!AS3+"Ug1!3S"</f>
        <v>#VALUE!</v>
      </c>
      <c r="CW5" t="e">
        <f ca="1">Time!AT3+"Ug1!3T"</f>
        <v>#VALUE!</v>
      </c>
      <c r="CX5" t="e">
        <f ca="1">Time!AU3+"Ug1!3U"</f>
        <v>#VALUE!</v>
      </c>
      <c r="CY5" t="e">
        <f ca="1">Time!AV3+"Ug1!3V"</f>
        <v>#VALUE!</v>
      </c>
      <c r="CZ5" t="e">
        <f ca="1">Time!AW3+"Ug1!3W"</f>
        <v>#VALUE!</v>
      </c>
      <c r="DA5" t="e">
        <f ca="1">Time!AX3+"Ug1!3X"</f>
        <v>#VALUE!</v>
      </c>
      <c r="DB5" t="e">
        <f ca="1">Time!AY3+"Ug1!3Y"</f>
        <v>#VALUE!</v>
      </c>
      <c r="DC5" t="e">
        <f ca="1">Time!AZ3+"Ug1!3Z"</f>
        <v>#VALUE!</v>
      </c>
      <c r="DD5" t="e">
        <f ca="1">Time!BA3+"Ug1!3["</f>
        <v>#VALUE!</v>
      </c>
      <c r="DE5" t="e">
        <f ca="1">Time!BB3+"Ug1!3\"</f>
        <v>#VALUE!</v>
      </c>
      <c r="DF5" t="e">
        <f ca="1">Time!BC3+"Ug1!3]"</f>
        <v>#VALUE!</v>
      </c>
      <c r="DG5" t="e">
        <f ca="1">Time!BD3+"Ug1!3^"</f>
        <v>#VALUE!</v>
      </c>
      <c r="DH5" t="e">
        <f ca="1">Time!BE3+"Ug1!3_"</f>
        <v>#VALUE!</v>
      </c>
      <c r="DI5" t="e">
        <f ca="1">Time!BF3+"Ug1!3`"</f>
        <v>#VALUE!</v>
      </c>
      <c r="DJ5" t="e">
        <f ca="1">Time!BG3+"Ug1!3a"</f>
        <v>#VALUE!</v>
      </c>
      <c r="DK5" t="e">
        <f ca="1">Time!BH3+"Ug1!3b"</f>
        <v>#VALUE!</v>
      </c>
      <c r="DL5" t="e">
        <f ca="1">Time!BI3+"Ug1!3c"</f>
        <v>#VALUE!</v>
      </c>
      <c r="DM5" t="e">
        <f ca="1">Time!BJ3+"Ug1!3d"</f>
        <v>#VALUE!</v>
      </c>
      <c r="DN5" t="e">
        <f ca="1">Time!BK3+"Ug1!3e"</f>
        <v>#VALUE!</v>
      </c>
      <c r="DO5" t="e">
        <f ca="1">Time!BL3+"Ug1!3f"</f>
        <v>#VALUE!</v>
      </c>
      <c r="DP5" t="e">
        <f ca="1">Time!BM3+"Ug1!3g"</f>
        <v>#VALUE!</v>
      </c>
      <c r="DQ5" t="e">
        <f ca="1">Time!BN3+"Ug1!3h"</f>
        <v>#VALUE!</v>
      </c>
      <c r="DR5" t="e">
        <f ca="1">Time!BO3+"Ug1!3i"</f>
        <v>#VALUE!</v>
      </c>
      <c r="DS5" t="e">
        <f ca="1">Time!BP3+"Ug1!3j"</f>
        <v>#VALUE!</v>
      </c>
      <c r="DT5" t="e">
        <f ca="1">Time!BQ3+"Ug1!3k"</f>
        <v>#VALUE!</v>
      </c>
      <c r="DU5" t="e">
        <f ca="1">Time!BR3+"Ug1!3l"</f>
        <v>#VALUE!</v>
      </c>
      <c r="DV5" t="e">
        <f ca="1">Time!BS3+"Ug1!3m"</f>
        <v>#VALUE!</v>
      </c>
      <c r="DW5" t="e">
        <f ca="1">Time!BT3+"Ug1!3n"</f>
        <v>#VALUE!</v>
      </c>
      <c r="DX5" t="e">
        <f ca="1">Time!BU3+"Ug1!3o"</f>
        <v>#VALUE!</v>
      </c>
      <c r="DY5" t="e">
        <f ca="1">Time!BV3+"Ug1!3p"</f>
        <v>#VALUE!</v>
      </c>
      <c r="DZ5" t="e">
        <f ca="1">Time!BW3+"Ug1!3q"</f>
        <v>#VALUE!</v>
      </c>
      <c r="EA5" t="e">
        <f ca="1">Time!BX3+"Ug1!3r"</f>
        <v>#VALUE!</v>
      </c>
      <c r="EB5" t="e">
        <f ca="1">Time!BY3+"Ug1!3s"</f>
        <v>#VALUE!</v>
      </c>
      <c r="EC5" t="e">
        <f ca="1">Time!A4+"Ug1!3t"</f>
        <v>#VALUE!</v>
      </c>
      <c r="ED5" t="e">
        <f ca="1">Time!B4+"Ug1!3u"</f>
        <v>#VALUE!</v>
      </c>
      <c r="EE5" t="e">
        <f ca="1">Time!C4+"Ug1!3v"</f>
        <v>#VALUE!</v>
      </c>
      <c r="EF5" t="e">
        <f ca="1">Time!D4+"Ug1!3w"</f>
        <v>#VALUE!</v>
      </c>
      <c r="EG5" t="e">
        <f ca="1">Time!E4+"Ug1!3x"</f>
        <v>#VALUE!</v>
      </c>
      <c r="EH5" t="e">
        <f ca="1">Time!F4+"Ug1!3y"</f>
        <v>#VALUE!</v>
      </c>
      <c r="EI5" t="e">
        <f ca="1">Time!G4+"Ug1!3z"</f>
        <v>#VALUE!</v>
      </c>
      <c r="EJ5" t="e">
        <f ca="1">Time!J4+"Ug1!3{"</f>
        <v>#VALUE!</v>
      </c>
      <c r="EK5" t="e">
        <f ca="1">Time!K4+"Ug1!3|"</f>
        <v>#VALUE!</v>
      </c>
      <c r="EL5" t="e">
        <f ca="1">Time!L4+"Ug1!3}"</f>
        <v>#VALUE!</v>
      </c>
      <c r="EM5" t="e">
        <f ca="1">Time!M4+"Ug1!3~"</f>
        <v>#VALUE!</v>
      </c>
      <c r="EN5" t="e">
        <f ca="1">Time!N4+"Ug1!4#"</f>
        <v>#VALUE!</v>
      </c>
      <c r="EO5" t="e">
        <f ca="1">Time!O4+"Ug1!4$"</f>
        <v>#VALUE!</v>
      </c>
      <c r="EP5" t="e">
        <f ca="1">Time!P4+"Ug1!4%"</f>
        <v>#VALUE!</v>
      </c>
      <c r="EQ5" t="e">
        <f ca="1">Time!Q4+"Ug1!4&amp;"</f>
        <v>#VALUE!</v>
      </c>
      <c r="ER5" t="e">
        <f ca="1">Time!R4+"Ug1!4'"</f>
        <v>#VALUE!</v>
      </c>
      <c r="ES5" t="e">
        <f ca="1">Time!S4+"Ug1!4("</f>
        <v>#VALUE!</v>
      </c>
      <c r="ET5" t="e">
        <f ca="1">Time!T4+"Ug1!4)"</f>
        <v>#VALUE!</v>
      </c>
      <c r="EU5" t="e">
        <f ca="1">Time!U4+"Ug1!4."</f>
        <v>#VALUE!</v>
      </c>
      <c r="EV5" t="e">
        <f ca="1">Time!V4+"Ug1!4/"</f>
        <v>#VALUE!</v>
      </c>
      <c r="EW5" t="e">
        <f ca="1">Time!W4+"Ug1!40"</f>
        <v>#VALUE!</v>
      </c>
      <c r="EX5" t="e">
        <f ca="1">Time!X4+"Ug1!41"</f>
        <v>#VALUE!</v>
      </c>
      <c r="EY5" t="e">
        <f ca="1">Time!Y4+"Ug1!42"</f>
        <v>#VALUE!</v>
      </c>
      <c r="EZ5" t="e">
        <f ca="1">Time!Z4+"Ug1!43"</f>
        <v>#VALUE!</v>
      </c>
      <c r="FA5" t="e">
        <f ca="1">Time!AA4+"Ug1!44"</f>
        <v>#VALUE!</v>
      </c>
      <c r="FB5" t="e">
        <f ca="1">Time!AB4+"Ug1!45"</f>
        <v>#VALUE!</v>
      </c>
      <c r="FC5" t="e">
        <f ca="1">Time!AC4+"Ug1!46"</f>
        <v>#VALUE!</v>
      </c>
      <c r="FD5" t="e">
        <f ca="1">Time!AD4+"Ug1!47"</f>
        <v>#VALUE!</v>
      </c>
      <c r="FE5" t="e">
        <f ca="1">Time!AE4+"Ug1!48"</f>
        <v>#VALUE!</v>
      </c>
      <c r="FF5" t="e">
        <f ca="1">Time!AF4+"Ug1!49"</f>
        <v>#VALUE!</v>
      </c>
      <c r="FG5" t="e">
        <f ca="1">Time!AG4+"Ug1!4:"</f>
        <v>#VALUE!</v>
      </c>
      <c r="FH5" t="e">
        <f ca="1">Time!AH4+"Ug1!4;"</f>
        <v>#VALUE!</v>
      </c>
      <c r="FI5" t="e">
        <f ca="1">Time!AI4+"Ug1!4&lt;"</f>
        <v>#VALUE!</v>
      </c>
      <c r="FJ5" t="e">
        <f ca="1">Time!AJ4+"Ug1!4="</f>
        <v>#VALUE!</v>
      </c>
      <c r="FK5" t="e">
        <f ca="1">Time!AK4+"Ug1!4&gt;"</f>
        <v>#VALUE!</v>
      </c>
      <c r="FL5" t="e">
        <f ca="1">Time!AL4+"Ug1!4?"</f>
        <v>#VALUE!</v>
      </c>
      <c r="FM5" t="e">
        <f ca="1">Time!AM4+"Ug1!4@"</f>
        <v>#VALUE!</v>
      </c>
      <c r="FN5" t="e">
        <f ca="1">Time!AN4+"Ug1!4A"</f>
        <v>#VALUE!</v>
      </c>
      <c r="FO5" t="e">
        <f ca="1">Time!AO4+"Ug1!4B"</f>
        <v>#VALUE!</v>
      </c>
      <c r="FP5" t="e">
        <f ca="1">Time!AP4+"Ug1!4C"</f>
        <v>#VALUE!</v>
      </c>
      <c r="FQ5" t="e">
        <f ca="1">Time!AQ4+"Ug1!4D"</f>
        <v>#VALUE!</v>
      </c>
      <c r="FR5" t="e">
        <f ca="1">Time!AR4+"Ug1!4E"</f>
        <v>#VALUE!</v>
      </c>
      <c r="FS5" t="e">
        <f ca="1">Time!AS4+"Ug1!4F"</f>
        <v>#VALUE!</v>
      </c>
      <c r="FT5" t="e">
        <f ca="1">Time!AT4+"Ug1!4G"</f>
        <v>#VALUE!</v>
      </c>
      <c r="FU5" t="e">
        <f ca="1">Time!AU4+"Ug1!4H"</f>
        <v>#VALUE!</v>
      </c>
      <c r="FV5" t="e">
        <f ca="1">Time!AV4+"Ug1!4I"</f>
        <v>#VALUE!</v>
      </c>
      <c r="FW5" t="e">
        <f ca="1">Time!AW4+"Ug1!4J"</f>
        <v>#VALUE!</v>
      </c>
      <c r="FX5" t="e">
        <f ca="1">Time!AX4+"Ug1!4K"</f>
        <v>#VALUE!</v>
      </c>
      <c r="FY5" t="e">
        <f ca="1">Time!AY4+"Ug1!4L"</f>
        <v>#VALUE!</v>
      </c>
      <c r="FZ5" t="e">
        <f ca="1">Time!AZ4+"Ug1!4M"</f>
        <v>#VALUE!</v>
      </c>
      <c r="GA5" t="e">
        <f ca="1">Time!BA4+"Ug1!4N"</f>
        <v>#VALUE!</v>
      </c>
      <c r="GB5" t="e">
        <f ca="1">Time!BB4+"Ug1!4O"</f>
        <v>#VALUE!</v>
      </c>
      <c r="GC5" t="e">
        <f ca="1">Time!BC4+"Ug1!4P"</f>
        <v>#VALUE!</v>
      </c>
      <c r="GD5" t="e">
        <f ca="1">Time!BD4+"Ug1!4Q"</f>
        <v>#VALUE!</v>
      </c>
      <c r="GE5" t="e">
        <f ca="1">Time!BE4+"Ug1!4R"</f>
        <v>#VALUE!</v>
      </c>
      <c r="GF5" t="e">
        <f ca="1">Time!BF4+"Ug1!4S"</f>
        <v>#VALUE!</v>
      </c>
      <c r="GG5" t="e">
        <f ca="1">Time!BG4+"Ug1!4T"</f>
        <v>#VALUE!</v>
      </c>
      <c r="GH5" t="e">
        <f ca="1">Time!BH4+"Ug1!4U"</f>
        <v>#VALUE!</v>
      </c>
      <c r="GI5" t="e">
        <f ca="1">Time!BI4+"Ug1!4V"</f>
        <v>#VALUE!</v>
      </c>
      <c r="GJ5" t="e">
        <f ca="1">Time!BJ4+"Ug1!4W"</f>
        <v>#VALUE!</v>
      </c>
      <c r="GK5" t="e">
        <f ca="1">Time!BK4+"Ug1!4X"</f>
        <v>#VALUE!</v>
      </c>
      <c r="GL5" t="e">
        <f ca="1">Time!BL4+"Ug1!4Y"</f>
        <v>#VALUE!</v>
      </c>
      <c r="GM5" t="e">
        <f ca="1">Time!BM4+"Ug1!4Z"</f>
        <v>#VALUE!</v>
      </c>
      <c r="GN5" t="e">
        <f ca="1">Time!BN4+"Ug1!4["</f>
        <v>#VALUE!</v>
      </c>
      <c r="GO5" t="e">
        <f ca="1">Time!BO4+"Ug1!4\"</f>
        <v>#VALUE!</v>
      </c>
      <c r="GP5" t="e">
        <f ca="1">Time!BP4+"Ug1!4]"</f>
        <v>#VALUE!</v>
      </c>
      <c r="GQ5" t="e">
        <f ca="1">Time!BQ4+"Ug1!4^"</f>
        <v>#VALUE!</v>
      </c>
      <c r="GR5" t="e">
        <f ca="1">Time!BR4+"Ug1!4_"</f>
        <v>#VALUE!</v>
      </c>
      <c r="GS5" t="e">
        <f ca="1">Time!BS4+"Ug1!4`"</f>
        <v>#VALUE!</v>
      </c>
      <c r="GT5" t="e">
        <f ca="1">Time!BT4+"Ug1!4a"</f>
        <v>#VALUE!</v>
      </c>
      <c r="GU5" t="e">
        <f ca="1">Time!BU4+"Ug1!4b"</f>
        <v>#VALUE!</v>
      </c>
      <c r="GV5" t="e">
        <f ca="1">Time!BV4+"Ug1!4c"</f>
        <v>#VALUE!</v>
      </c>
      <c r="GW5" t="e">
        <f ca="1">Time!BW4+"Ug1!4d"</f>
        <v>#VALUE!</v>
      </c>
      <c r="GX5" t="e">
        <f ca="1">Time!BX4+"Ug1!4e"</f>
        <v>#VALUE!</v>
      </c>
      <c r="GY5" t="e">
        <f ca="1">Time!BY4+"Ug1!4f"</f>
        <v>#VALUE!</v>
      </c>
      <c r="GZ5" t="e">
        <f ca="1">Time!A5+"Ug1!4g"</f>
        <v>#VALUE!</v>
      </c>
      <c r="HA5" t="e">
        <f ca="1">Time!B5+"Ug1!4h"</f>
        <v>#VALUE!</v>
      </c>
      <c r="HB5" t="e">
        <f ca="1">Time!C5+"Ug1!4i"</f>
        <v>#VALUE!</v>
      </c>
      <c r="HC5" t="e">
        <f ca="1">Time!D5+"Ug1!4j"</f>
        <v>#VALUE!</v>
      </c>
      <c r="HD5" t="e">
        <f ca="1">Time!E5+"Ug1!4k"</f>
        <v>#VALUE!</v>
      </c>
      <c r="HE5" t="e">
        <f ca="1">Time!F5+"Ug1!4l"</f>
        <v>#VALUE!</v>
      </c>
      <c r="HF5" t="e">
        <f ca="1">Time!G5+"Ug1!4m"</f>
        <v>#VALUE!</v>
      </c>
      <c r="HG5" t="e">
        <f ca="1">Time!H5+"Ug1!4n"</f>
        <v>#VALUE!</v>
      </c>
      <c r="HH5" t="e">
        <f ca="1">Time!J5+"Ug1!4o"</f>
        <v>#VALUE!</v>
      </c>
      <c r="HI5" t="e">
        <f ca="1">Time!K5+"Ug1!4p"</f>
        <v>#VALUE!</v>
      </c>
      <c r="HJ5" t="e">
        <f ca="1">Time!L5+"Ug1!4q"</f>
        <v>#VALUE!</v>
      </c>
      <c r="HK5" t="e">
        <f ca="1">Time!M5+"Ug1!4r"</f>
        <v>#VALUE!</v>
      </c>
      <c r="HL5" t="e">
        <f ca="1">Time!N5+"Ug1!4s"</f>
        <v>#VALUE!</v>
      </c>
      <c r="HM5" t="e">
        <f ca="1">Time!O5+"Ug1!4t"</f>
        <v>#VALUE!</v>
      </c>
      <c r="HN5" t="e">
        <f ca="1">Time!P5+"Ug1!4u"</f>
        <v>#VALUE!</v>
      </c>
      <c r="HO5" t="e">
        <f ca="1">Time!Q5+"Ug1!4v"</f>
        <v>#VALUE!</v>
      </c>
      <c r="HP5" t="e">
        <f ca="1">Time!R5+"Ug1!4w"</f>
        <v>#VALUE!</v>
      </c>
      <c r="HQ5" t="e">
        <f ca="1">Time!S5+"Ug1!4x"</f>
        <v>#VALUE!</v>
      </c>
      <c r="HR5" t="e">
        <f ca="1">Time!T5+"Ug1!4y"</f>
        <v>#VALUE!</v>
      </c>
      <c r="HS5" t="e">
        <f ca="1">Time!U5+"Ug1!4z"</f>
        <v>#VALUE!</v>
      </c>
      <c r="HT5" t="e">
        <f ca="1">Time!V5+"Ug1!4{"</f>
        <v>#VALUE!</v>
      </c>
      <c r="HU5" t="e">
        <f ca="1">Time!W5+"Ug1!4|"</f>
        <v>#VALUE!</v>
      </c>
      <c r="HV5" t="e">
        <f ca="1">Time!X5+"Ug1!4}"</f>
        <v>#VALUE!</v>
      </c>
      <c r="HW5" t="e">
        <f ca="1">Time!Y5+"Ug1!4~"</f>
        <v>#VALUE!</v>
      </c>
      <c r="HX5" t="e">
        <f ca="1">Time!Z5+"Ug1!5#"</f>
        <v>#VALUE!</v>
      </c>
      <c r="HY5" t="e">
        <f ca="1">Time!AA5+"Ug1!5$"</f>
        <v>#VALUE!</v>
      </c>
      <c r="HZ5" t="e">
        <f ca="1">Time!AB5+"Ug1!5%"</f>
        <v>#VALUE!</v>
      </c>
      <c r="IA5" t="e">
        <f ca="1">Time!AC5+"Ug1!5&amp;"</f>
        <v>#VALUE!</v>
      </c>
      <c r="IB5" t="e">
        <f ca="1">Time!AD5+"Ug1!5'"</f>
        <v>#VALUE!</v>
      </c>
      <c r="IC5" t="e">
        <f ca="1">Time!AE5+"Ug1!5("</f>
        <v>#VALUE!</v>
      </c>
      <c r="ID5" t="e">
        <f ca="1">Time!AF5+"Ug1!5)"</f>
        <v>#VALUE!</v>
      </c>
      <c r="IE5" t="e">
        <f ca="1">Time!AG5+"Ug1!5."</f>
        <v>#VALUE!</v>
      </c>
      <c r="IF5" t="e">
        <f ca="1">Time!AH5+"Ug1!5/"</f>
        <v>#VALUE!</v>
      </c>
      <c r="IG5" t="e">
        <f ca="1">Time!AI5+"Ug1!50"</f>
        <v>#VALUE!</v>
      </c>
      <c r="IH5" t="e">
        <f ca="1">Time!AJ5+"Ug1!51"</f>
        <v>#VALUE!</v>
      </c>
      <c r="II5" t="e">
        <f ca="1">Time!AK5+"Ug1!52"</f>
        <v>#VALUE!</v>
      </c>
      <c r="IJ5" t="e">
        <f ca="1">Time!AL5+"Ug1!53"</f>
        <v>#VALUE!</v>
      </c>
      <c r="IK5" t="e">
        <f ca="1">Time!AM5+"Ug1!54"</f>
        <v>#VALUE!</v>
      </c>
      <c r="IL5" t="e">
        <f ca="1">Time!AN5+"Ug1!55"</f>
        <v>#VALUE!</v>
      </c>
      <c r="IM5" t="e">
        <f ca="1">Time!AO5+"Ug1!56"</f>
        <v>#VALUE!</v>
      </c>
      <c r="IN5" t="e">
        <f ca="1">Time!AP5+"Ug1!57"</f>
        <v>#VALUE!</v>
      </c>
      <c r="IO5" t="e">
        <f ca="1">Time!AQ5+"Ug1!58"</f>
        <v>#VALUE!</v>
      </c>
      <c r="IP5" t="e">
        <f ca="1">Time!AR5+"Ug1!59"</f>
        <v>#VALUE!</v>
      </c>
      <c r="IQ5" t="e">
        <f ca="1">Time!AS5+"Ug1!5:"</f>
        <v>#VALUE!</v>
      </c>
      <c r="IR5" t="e">
        <f ca="1">Time!AT5+"Ug1!5;"</f>
        <v>#VALUE!</v>
      </c>
      <c r="IS5" t="e">
        <f ca="1">Time!AU5+"Ug1!5&lt;"</f>
        <v>#VALUE!</v>
      </c>
      <c r="IT5" t="e">
        <f ca="1">Time!AV5+"Ug1!5="</f>
        <v>#VALUE!</v>
      </c>
      <c r="IU5" t="e">
        <f ca="1">Time!AW5+"Ug1!5&gt;"</f>
        <v>#VALUE!</v>
      </c>
      <c r="IV5" t="e">
        <f ca="1">Time!AX5+"Ug1!5?"</f>
        <v>#VALUE!</v>
      </c>
    </row>
    <row r="6" spans="1:256" x14ac:dyDescent="0.2">
      <c r="F6" t="e">
        <f ca="1">Time!AY5+"Ug1!5@"</f>
        <v>#VALUE!</v>
      </c>
      <c r="G6" t="e">
        <f ca="1">Time!AZ5+"Ug1!5A"</f>
        <v>#VALUE!</v>
      </c>
      <c r="H6" t="e">
        <f ca="1">Time!BA5+"Ug1!5B"</f>
        <v>#VALUE!</v>
      </c>
      <c r="I6" t="e">
        <f ca="1">Time!BB5+"Ug1!5C"</f>
        <v>#VALUE!</v>
      </c>
      <c r="J6" t="e">
        <f ca="1">Time!BC5+"Ug1!5D"</f>
        <v>#VALUE!</v>
      </c>
      <c r="K6" t="e">
        <f ca="1">Time!BD5+"Ug1!5E"</f>
        <v>#VALUE!</v>
      </c>
      <c r="L6" t="e">
        <f ca="1">Time!BE5+"Ug1!5F"</f>
        <v>#VALUE!</v>
      </c>
      <c r="M6" t="e">
        <f ca="1">Time!BF5+"Ug1!5G"</f>
        <v>#VALUE!</v>
      </c>
      <c r="N6" t="e">
        <f ca="1">Time!BG5+"Ug1!5H"</f>
        <v>#VALUE!</v>
      </c>
      <c r="O6" t="e">
        <f ca="1">Time!BH5+"Ug1!5I"</f>
        <v>#VALUE!</v>
      </c>
      <c r="P6" t="e">
        <f ca="1">Time!BI5+"Ug1!5J"</f>
        <v>#VALUE!</v>
      </c>
      <c r="Q6" t="e">
        <f ca="1">Time!BJ5+"Ug1!5K"</f>
        <v>#VALUE!</v>
      </c>
      <c r="R6" t="e">
        <f ca="1">Time!BK5+"Ug1!5L"</f>
        <v>#VALUE!</v>
      </c>
      <c r="S6" t="e">
        <f ca="1">Time!BL5+"Ug1!5M"</f>
        <v>#VALUE!</v>
      </c>
      <c r="T6" t="e">
        <f ca="1">Time!BM5+"Ug1!5N"</f>
        <v>#VALUE!</v>
      </c>
      <c r="U6" t="e">
        <f ca="1">Time!BN5+"Ug1!5O"</f>
        <v>#VALUE!</v>
      </c>
      <c r="V6" t="e">
        <f ca="1">Time!BO5+"Ug1!5P"</f>
        <v>#VALUE!</v>
      </c>
      <c r="W6" t="e">
        <f ca="1">Time!BP5+"Ug1!5Q"</f>
        <v>#VALUE!</v>
      </c>
      <c r="X6" t="e">
        <f ca="1">Time!BQ5+"Ug1!5R"</f>
        <v>#VALUE!</v>
      </c>
      <c r="Y6" t="e">
        <f ca="1">Time!BR5+"Ug1!5S"</f>
        <v>#VALUE!</v>
      </c>
      <c r="Z6" t="e">
        <f ca="1">Time!BS5+"Ug1!5T"</f>
        <v>#VALUE!</v>
      </c>
      <c r="AA6" t="e">
        <f ca="1">Time!BT5+"Ug1!5U"</f>
        <v>#VALUE!</v>
      </c>
      <c r="AB6" t="e">
        <f ca="1">Time!BU5+"Ug1!5V"</f>
        <v>#VALUE!</v>
      </c>
      <c r="AC6" t="e">
        <f ca="1">Time!BV5+"Ug1!5W"</f>
        <v>#VALUE!</v>
      </c>
      <c r="AD6" t="e">
        <f ca="1">Time!BW5+"Ug1!5X"</f>
        <v>#VALUE!</v>
      </c>
      <c r="AE6" t="e">
        <f ca="1">Time!BX5+"Ug1!5Y"</f>
        <v>#VALUE!</v>
      </c>
      <c r="AF6" t="e">
        <f ca="1">Time!BY5+"Ug1!5Z"</f>
        <v>#VALUE!</v>
      </c>
      <c r="AG6" t="e">
        <f ca="1">Time!A7+"Ug1!5["</f>
        <v>#VALUE!</v>
      </c>
      <c r="AH6" t="e">
        <f ca="1">Time!B7+"Ug1!5\"</f>
        <v>#VALUE!</v>
      </c>
      <c r="AI6" t="e">
        <f ca="1">Time!C7+"Ug1!5]"</f>
        <v>#VALUE!</v>
      </c>
      <c r="AJ6" t="e">
        <f ca="1">Time!D7+"Ug1!5^"</f>
        <v>#VALUE!</v>
      </c>
      <c r="AK6" t="e">
        <f ca="1">Time!G7+"Ug1!5_"</f>
        <v>#VALUE!</v>
      </c>
      <c r="AL6" t="e">
        <f ca="1">Time!A8+"Ug1!5`"</f>
        <v>#VALUE!</v>
      </c>
      <c r="AM6" t="e">
        <f ca="1">Time!B8+"Ug1!5a"</f>
        <v>#VALUE!</v>
      </c>
      <c r="AN6" t="e">
        <f ca="1">Time!C8+"Ug1!5b"</f>
        <v>#VALUE!</v>
      </c>
      <c r="AO6" t="e">
        <f ca="1">Time!D8+"Ug1!5c"</f>
        <v>#VALUE!</v>
      </c>
      <c r="AP6" t="e">
        <f ca="1">Time!G8+"Ug1!5d"</f>
        <v>#VALUE!</v>
      </c>
      <c r="AQ6" t="e">
        <f ca="1">Time!A9+"Ug1!5e"</f>
        <v>#VALUE!</v>
      </c>
      <c r="AR6" t="e">
        <f ca="1">Time!B9+"Ug1!5f"</f>
        <v>#VALUE!</v>
      </c>
      <c r="AS6" t="e">
        <f ca="1">Time!C9+"Ug1!5g"</f>
        <v>#VALUE!</v>
      </c>
      <c r="AT6" t="e">
        <f ca="1">Time!D9+"Ug1!5h"</f>
        <v>#VALUE!</v>
      </c>
      <c r="AU6" t="e">
        <f ca="1">Time!E9+"Ug1!5i"</f>
        <v>#VALUE!</v>
      </c>
      <c r="AV6" t="e">
        <f ca="1">Time!G9+"Ug1!5j"</f>
        <v>#VALUE!</v>
      </c>
      <c r="AW6" t="e">
        <f ca="1">Time!I9+"Ug1!5k"</f>
        <v>#VALUE!</v>
      </c>
      <c r="AX6" t="e">
        <f ca="1">Time!J9+"Ug1!5l"</f>
        <v>#VALUE!</v>
      </c>
      <c r="AY6" t="e">
        <f ca="1">Time!K9+"Ug1!5m"</f>
        <v>#VALUE!</v>
      </c>
      <c r="AZ6" t="e">
        <f ca="1">Time!L9+"Ug1!5n"</f>
        <v>#VALUE!</v>
      </c>
      <c r="BA6" t="e">
        <f ca="1">Time!M9+"Ug1!5o"</f>
        <v>#VALUE!</v>
      </c>
      <c r="BB6" t="e">
        <f ca="1">Time!N9+"Ug1!5p"</f>
        <v>#VALUE!</v>
      </c>
      <c r="BC6" t="e">
        <f ca="1">Time!O9+"Ug1!5q"</f>
        <v>#VALUE!</v>
      </c>
      <c r="BD6" t="e">
        <f ca="1">Time!P9+"Ug1!5r"</f>
        <v>#VALUE!</v>
      </c>
      <c r="BE6" t="e">
        <f ca="1">Time!Q9+"Ug1!5s"</f>
        <v>#VALUE!</v>
      </c>
      <c r="BF6" t="e">
        <f ca="1">Time!R9+"Ug1!5t"</f>
        <v>#VALUE!</v>
      </c>
      <c r="BG6" t="e">
        <f ca="1">Time!S9+"Ug1!5u"</f>
        <v>#VALUE!</v>
      </c>
      <c r="BH6" t="e">
        <f ca="1">Time!T9+"Ug1!5v"</f>
        <v>#VALUE!</v>
      </c>
      <c r="BI6" t="e">
        <f ca="1">Time!U9+"Ug1!5w"</f>
        <v>#VALUE!</v>
      </c>
      <c r="BJ6" t="e">
        <f ca="1">Time!V9+"Ug1!5x"</f>
        <v>#VALUE!</v>
      </c>
      <c r="BK6" t="e">
        <f ca="1">Time!W9+"Ug1!5y"</f>
        <v>#VALUE!</v>
      </c>
      <c r="BL6" t="e">
        <f ca="1">Time!X9+"Ug1!5z"</f>
        <v>#VALUE!</v>
      </c>
      <c r="BM6" t="e">
        <f ca="1">Time!Y9+"Ug1!5{"</f>
        <v>#VALUE!</v>
      </c>
      <c r="BN6" t="e">
        <f ca="1">Time!Z9+"Ug1!5|"</f>
        <v>#VALUE!</v>
      </c>
      <c r="BO6" t="e">
        <f ca="1">Time!AA9+"Ug1!5}"</f>
        <v>#VALUE!</v>
      </c>
      <c r="BP6" t="e">
        <f ca="1">Time!AB9+"Ug1!5~"</f>
        <v>#VALUE!</v>
      </c>
      <c r="BQ6" t="e">
        <f ca="1">Time!AC9+"Ug1!6#"</f>
        <v>#VALUE!</v>
      </c>
      <c r="BR6" t="e">
        <f ca="1">Time!AD9+"Ug1!6$"</f>
        <v>#VALUE!</v>
      </c>
      <c r="BS6" t="e">
        <f ca="1">Time!AE9+"Ug1!6%"</f>
        <v>#VALUE!</v>
      </c>
      <c r="BT6" t="e">
        <f ca="1">Time!AF9+"Ug1!6&amp;"</f>
        <v>#VALUE!</v>
      </c>
      <c r="BU6" t="e">
        <f ca="1">Time!AG9+"Ug1!6'"</f>
        <v>#VALUE!</v>
      </c>
      <c r="BV6" t="e">
        <f ca="1">Time!AH9+"Ug1!6("</f>
        <v>#VALUE!</v>
      </c>
      <c r="BW6" t="e">
        <f ca="1">Time!AI9+"Ug1!6)"</f>
        <v>#VALUE!</v>
      </c>
      <c r="BX6" t="e">
        <f ca="1">Time!AJ9+"Ug1!6."</f>
        <v>#VALUE!</v>
      </c>
      <c r="BY6" t="e">
        <f ca="1">Time!AK9+"Ug1!6/"</f>
        <v>#VALUE!</v>
      </c>
      <c r="BZ6" t="e">
        <f ca="1">Time!AL9+"Ug1!60"</f>
        <v>#VALUE!</v>
      </c>
      <c r="CA6" t="e">
        <f ca="1">Time!AM9+"Ug1!61"</f>
        <v>#VALUE!</v>
      </c>
      <c r="CB6" t="e">
        <f ca="1">Time!AN9+"Ug1!62"</f>
        <v>#VALUE!</v>
      </c>
      <c r="CC6" t="e">
        <f ca="1">Time!AO9+"Ug1!63"</f>
        <v>#VALUE!</v>
      </c>
      <c r="CD6" t="e">
        <f ca="1">Time!AP9+"Ug1!64"</f>
        <v>#VALUE!</v>
      </c>
      <c r="CE6" t="e">
        <f ca="1">Time!AQ9+"Ug1!65"</f>
        <v>#VALUE!</v>
      </c>
      <c r="CF6" t="e">
        <f ca="1">Time!AR9+"Ug1!66"</f>
        <v>#VALUE!</v>
      </c>
      <c r="CG6" t="e">
        <f ca="1">Time!AS9+"Ug1!67"</f>
        <v>#VALUE!</v>
      </c>
      <c r="CH6" t="e">
        <f ca="1">Time!AT9+"Ug1!68"</f>
        <v>#VALUE!</v>
      </c>
      <c r="CI6" t="e">
        <f ca="1">Time!AU9+"Ug1!69"</f>
        <v>#VALUE!</v>
      </c>
      <c r="CJ6" t="e">
        <f ca="1">Time!AV9+"Ug1!6:"</f>
        <v>#VALUE!</v>
      </c>
      <c r="CK6" t="e">
        <f ca="1">Time!AW9+"Ug1!6;"</f>
        <v>#VALUE!</v>
      </c>
      <c r="CL6" t="e">
        <f ca="1">Time!AX9+"Ug1!6&lt;"</f>
        <v>#VALUE!</v>
      </c>
      <c r="CM6" t="e">
        <f ca="1">Time!AY9+"Ug1!6="</f>
        <v>#VALUE!</v>
      </c>
      <c r="CN6" t="e">
        <f ca="1">Time!AZ9+"Ug1!6&gt;"</f>
        <v>#VALUE!</v>
      </c>
      <c r="CO6" t="e">
        <f ca="1">Time!BA9+"Ug1!6?"</f>
        <v>#VALUE!</v>
      </c>
      <c r="CP6" t="e">
        <f ca="1">Time!BB9+"Ug1!6@"</f>
        <v>#VALUE!</v>
      </c>
      <c r="CQ6" t="e">
        <f ca="1">Time!BC9+"Ug1!6A"</f>
        <v>#VALUE!</v>
      </c>
      <c r="CR6" t="e">
        <f ca="1">Time!BD9+"Ug1!6B"</f>
        <v>#VALUE!</v>
      </c>
      <c r="CS6" t="e">
        <f ca="1">Time!BE9+"Ug1!6C"</f>
        <v>#VALUE!</v>
      </c>
      <c r="CT6" t="e">
        <f ca="1">Time!BF9+"Ug1!6D"</f>
        <v>#VALUE!</v>
      </c>
      <c r="CU6" t="e">
        <f ca="1">Time!BG9+"Ug1!6E"</f>
        <v>#VALUE!</v>
      </c>
      <c r="CV6" t="e">
        <f ca="1">Time!BH9+"Ug1!6F"</f>
        <v>#VALUE!</v>
      </c>
      <c r="CW6" t="e">
        <f ca="1">Time!BI9+"Ug1!6G"</f>
        <v>#VALUE!</v>
      </c>
      <c r="CX6" t="e">
        <f ca="1">Time!BJ9+"Ug1!6H"</f>
        <v>#VALUE!</v>
      </c>
      <c r="CY6" t="e">
        <f ca="1">Time!BK9+"Ug1!6I"</f>
        <v>#VALUE!</v>
      </c>
      <c r="CZ6" t="e">
        <f ca="1">Time!BL9+"Ug1!6J"</f>
        <v>#VALUE!</v>
      </c>
      <c r="DA6" t="e">
        <f ca="1">Time!BM9+"Ug1!6K"</f>
        <v>#VALUE!</v>
      </c>
      <c r="DB6" t="e">
        <f ca="1">Time!BN9+"Ug1!6L"</f>
        <v>#VALUE!</v>
      </c>
      <c r="DC6" t="e">
        <f ca="1">Time!BO9+"Ug1!6M"</f>
        <v>#VALUE!</v>
      </c>
      <c r="DD6" t="e">
        <f ca="1">Time!BP9+"Ug1!6N"</f>
        <v>#VALUE!</v>
      </c>
      <c r="DE6" t="e">
        <f ca="1">Time!BQ9+"Ug1!6O"</f>
        <v>#VALUE!</v>
      </c>
      <c r="DF6" t="e">
        <f ca="1">Time!BR9+"Ug1!6P"</f>
        <v>#VALUE!</v>
      </c>
      <c r="DG6" t="e">
        <f ca="1">Time!BS9+"Ug1!6Q"</f>
        <v>#VALUE!</v>
      </c>
      <c r="DH6" t="e">
        <f ca="1">Time!BT9+"Ug1!6R"</f>
        <v>#VALUE!</v>
      </c>
      <c r="DI6" t="e">
        <f ca="1">Time!BU9+"Ug1!6S"</f>
        <v>#VALUE!</v>
      </c>
      <c r="DJ6" t="e">
        <f ca="1">Time!BV9+"Ug1!6T"</f>
        <v>#VALUE!</v>
      </c>
      <c r="DK6" t="e">
        <f ca="1">Time!BW9+"Ug1!6U"</f>
        <v>#VALUE!</v>
      </c>
      <c r="DL6" t="e">
        <f ca="1">Time!BX9+"Ug1!6V"</f>
        <v>#VALUE!</v>
      </c>
      <c r="DM6" t="e">
        <f ca="1">Time!BY9+"Ug1!6W"</f>
        <v>#VALUE!</v>
      </c>
      <c r="DN6" t="e">
        <f ca="1">Time!A10+"Ug1!6X"</f>
        <v>#VALUE!</v>
      </c>
      <c r="DO6" t="e">
        <f ca="1">Time!B10+"Ug1!6Y"</f>
        <v>#VALUE!</v>
      </c>
      <c r="DP6" t="e">
        <f ca="1">Time!C10+"Ug1!6Z"</f>
        <v>#VALUE!</v>
      </c>
      <c r="DQ6" t="e">
        <f ca="1">Time!D10+"Ug1!6["</f>
        <v>#VALUE!</v>
      </c>
      <c r="DR6" t="e">
        <f ca="1">Time!E10+"Ug1!6\"</f>
        <v>#VALUE!</v>
      </c>
      <c r="DS6" t="e">
        <f ca="1">Time!G10+"Ug1!6]"</f>
        <v>#VALUE!</v>
      </c>
      <c r="DT6" t="e">
        <f ca="1">Time!H10+"Ug1!6^"</f>
        <v>#VALUE!</v>
      </c>
      <c r="DU6" t="e">
        <f ca="1">Time!J10+"Ug1!6_"</f>
        <v>#VALUE!</v>
      </c>
      <c r="DV6" t="e">
        <f ca="1">Time!K10+"Ug1!6`"</f>
        <v>#VALUE!</v>
      </c>
      <c r="DW6" t="e">
        <f ca="1">Time!L10+"Ug1!6a"</f>
        <v>#VALUE!</v>
      </c>
      <c r="DX6" t="e">
        <f ca="1">Time!M10+"Ug1!6b"</f>
        <v>#VALUE!</v>
      </c>
      <c r="DY6" t="e">
        <f ca="1">Time!N10+"Ug1!6c"</f>
        <v>#VALUE!</v>
      </c>
      <c r="DZ6" t="e">
        <f ca="1">Time!O10+"Ug1!6d"</f>
        <v>#VALUE!</v>
      </c>
      <c r="EA6" t="e">
        <f ca="1">Time!P10+"Ug1!6e"</f>
        <v>#VALUE!</v>
      </c>
      <c r="EB6" t="e">
        <f ca="1">Time!Q10+"Ug1!6f"</f>
        <v>#VALUE!</v>
      </c>
      <c r="EC6" t="e">
        <f ca="1">Time!R10+"Ug1!6g"</f>
        <v>#VALUE!</v>
      </c>
      <c r="ED6" t="e">
        <f ca="1">Time!S10+"Ug1!6h"</f>
        <v>#VALUE!</v>
      </c>
      <c r="EE6" t="e">
        <f ca="1">Time!T10+"Ug1!6i"</f>
        <v>#VALUE!</v>
      </c>
      <c r="EF6" t="e">
        <f ca="1">Time!U10+"Ug1!6j"</f>
        <v>#VALUE!</v>
      </c>
      <c r="EG6" t="e">
        <f ca="1">Time!V10+"Ug1!6k"</f>
        <v>#VALUE!</v>
      </c>
      <c r="EH6" t="e">
        <f ca="1">Time!W10+"Ug1!6l"</f>
        <v>#VALUE!</v>
      </c>
      <c r="EI6" t="e">
        <f ca="1">Time!X10+"Ug1!6m"</f>
        <v>#VALUE!</v>
      </c>
      <c r="EJ6" t="e">
        <f ca="1">Time!Y10+"Ug1!6n"</f>
        <v>#VALUE!</v>
      </c>
      <c r="EK6" t="e">
        <f ca="1">Time!Z10+"Ug1!6o"</f>
        <v>#VALUE!</v>
      </c>
      <c r="EL6" t="e">
        <f ca="1">Time!AA10+"Ug1!6p"</f>
        <v>#VALUE!</v>
      </c>
      <c r="EM6" t="e">
        <f ca="1">Time!AB10+"Ug1!6q"</f>
        <v>#VALUE!</v>
      </c>
      <c r="EN6" t="e">
        <f ca="1">Time!AC10+"Ug1!6r"</f>
        <v>#VALUE!</v>
      </c>
      <c r="EO6" t="e">
        <f ca="1">Time!AD10+"Ug1!6s"</f>
        <v>#VALUE!</v>
      </c>
      <c r="EP6" t="e">
        <f ca="1">Time!AE10+"Ug1!6t"</f>
        <v>#VALUE!</v>
      </c>
      <c r="EQ6" t="e">
        <f ca="1">Time!AF10+"Ug1!6u"</f>
        <v>#VALUE!</v>
      </c>
      <c r="ER6" t="e">
        <f ca="1">Time!AG10+"Ug1!6v"</f>
        <v>#VALUE!</v>
      </c>
      <c r="ES6" t="e">
        <f ca="1">Time!AH10+"Ug1!6w"</f>
        <v>#VALUE!</v>
      </c>
      <c r="ET6" t="e">
        <f ca="1">Time!AI10+"Ug1!6x"</f>
        <v>#VALUE!</v>
      </c>
      <c r="EU6" t="e">
        <f ca="1">Time!AJ10+"Ug1!6y"</f>
        <v>#VALUE!</v>
      </c>
      <c r="EV6" t="e">
        <f ca="1">Time!AK10+"Ug1!6z"</f>
        <v>#VALUE!</v>
      </c>
      <c r="EW6" t="e">
        <f ca="1">Time!AL10+"Ug1!6{"</f>
        <v>#VALUE!</v>
      </c>
      <c r="EX6" t="e">
        <f ca="1">Time!AM10+"Ug1!6|"</f>
        <v>#VALUE!</v>
      </c>
      <c r="EY6" t="e">
        <f ca="1">Time!AN10+"Ug1!6}"</f>
        <v>#VALUE!</v>
      </c>
      <c r="EZ6" t="e">
        <f ca="1">Time!AO10+"Ug1!6~"</f>
        <v>#VALUE!</v>
      </c>
      <c r="FA6" t="e">
        <f ca="1">Time!AP10+"Ug1!7#"</f>
        <v>#VALUE!</v>
      </c>
      <c r="FB6" t="e">
        <f ca="1">Time!AQ10+"Ug1!7$"</f>
        <v>#VALUE!</v>
      </c>
      <c r="FC6" t="e">
        <f ca="1">Time!AR10+"Ug1!7%"</f>
        <v>#VALUE!</v>
      </c>
      <c r="FD6" t="e">
        <f ca="1">Time!AS10+"Ug1!7&amp;"</f>
        <v>#VALUE!</v>
      </c>
      <c r="FE6" t="e">
        <f ca="1">Time!AT10+"Ug1!7'"</f>
        <v>#VALUE!</v>
      </c>
      <c r="FF6" t="e">
        <f ca="1">Time!AU10+"Ug1!7("</f>
        <v>#VALUE!</v>
      </c>
      <c r="FG6" t="e">
        <f ca="1">Time!AV10+"Ug1!7)"</f>
        <v>#VALUE!</v>
      </c>
      <c r="FH6" t="e">
        <f ca="1">Time!AW10+"Ug1!7."</f>
        <v>#VALUE!</v>
      </c>
      <c r="FI6" t="e">
        <f ca="1">Time!AX10+"Ug1!7/"</f>
        <v>#VALUE!</v>
      </c>
      <c r="FJ6" t="e">
        <f ca="1">Time!AY10+"Ug1!70"</f>
        <v>#VALUE!</v>
      </c>
      <c r="FK6" t="e">
        <f ca="1">Time!AZ10+"Ug1!71"</f>
        <v>#VALUE!</v>
      </c>
      <c r="FL6" t="e">
        <f ca="1">Time!BA10+"Ug1!72"</f>
        <v>#VALUE!</v>
      </c>
      <c r="FM6" t="e">
        <f ca="1">Time!BB10+"Ug1!73"</f>
        <v>#VALUE!</v>
      </c>
      <c r="FN6" t="e">
        <f ca="1">Time!BC10+"Ug1!74"</f>
        <v>#VALUE!</v>
      </c>
      <c r="FO6" t="e">
        <f ca="1">Time!BD10+"Ug1!75"</f>
        <v>#VALUE!</v>
      </c>
      <c r="FP6" t="e">
        <f ca="1">Time!BE10+"Ug1!76"</f>
        <v>#VALUE!</v>
      </c>
      <c r="FQ6" t="e">
        <f ca="1">Time!BF10+"Ug1!77"</f>
        <v>#VALUE!</v>
      </c>
      <c r="FR6" t="e">
        <f ca="1">Time!BG10+"Ug1!78"</f>
        <v>#VALUE!</v>
      </c>
      <c r="FS6" t="e">
        <f ca="1">Time!BH10+"Ug1!79"</f>
        <v>#VALUE!</v>
      </c>
      <c r="FT6" t="e">
        <f ca="1">Time!BI10+"Ug1!7:"</f>
        <v>#VALUE!</v>
      </c>
      <c r="FU6" t="e">
        <f ca="1">Time!BJ10+"Ug1!7;"</f>
        <v>#VALUE!</v>
      </c>
      <c r="FV6" t="e">
        <f ca="1">Time!BK10+"Ug1!7&lt;"</f>
        <v>#VALUE!</v>
      </c>
      <c r="FW6" t="e">
        <f ca="1">Time!BL10+"Ug1!7="</f>
        <v>#VALUE!</v>
      </c>
      <c r="FX6" t="e">
        <f ca="1">Time!BM10+"Ug1!7&gt;"</f>
        <v>#VALUE!</v>
      </c>
      <c r="FY6" t="e">
        <f ca="1">Time!BN10+"Ug1!7?"</f>
        <v>#VALUE!</v>
      </c>
      <c r="FZ6" t="e">
        <f ca="1">Time!BO10+"Ug1!7@"</f>
        <v>#VALUE!</v>
      </c>
      <c r="GA6" t="e">
        <f ca="1">Time!BP10+"Ug1!7A"</f>
        <v>#VALUE!</v>
      </c>
      <c r="GB6" t="e">
        <f ca="1">Time!BQ10+"Ug1!7B"</f>
        <v>#VALUE!</v>
      </c>
      <c r="GC6" t="e">
        <f ca="1">Time!BR10+"Ug1!7C"</f>
        <v>#VALUE!</v>
      </c>
      <c r="GD6" t="e">
        <f ca="1">Time!BS10+"Ug1!7D"</f>
        <v>#VALUE!</v>
      </c>
      <c r="GE6" t="e">
        <f ca="1">Time!BT10+"Ug1!7E"</f>
        <v>#VALUE!</v>
      </c>
      <c r="GF6" t="e">
        <f ca="1">Time!BU10+"Ug1!7F"</f>
        <v>#VALUE!</v>
      </c>
      <c r="GG6" t="e">
        <f ca="1">Time!BV10+"Ug1!7G"</f>
        <v>#VALUE!</v>
      </c>
      <c r="GH6" t="e">
        <f ca="1">Time!BW10+"Ug1!7H"</f>
        <v>#VALUE!</v>
      </c>
      <c r="GI6" t="e">
        <f ca="1">Time!BX10+"Ug1!7I"</f>
        <v>#VALUE!</v>
      </c>
      <c r="GJ6" t="e">
        <f ca="1">Time!BY10+"Ug1!7J"</f>
        <v>#VALUE!</v>
      </c>
      <c r="GK6" t="e">
        <f ca="1">Time!A11+"Ug1!7K"</f>
        <v>#VALUE!</v>
      </c>
      <c r="GL6" t="e">
        <f ca="1">Time!B11+"Ug1!7L"</f>
        <v>#VALUE!</v>
      </c>
      <c r="GM6" t="e">
        <f ca="1">Time!C11+"Ug1!7M"</f>
        <v>#VALUE!</v>
      </c>
      <c r="GN6" t="e">
        <f ca="1">Time!D11+"Ug1!7N"</f>
        <v>#VALUE!</v>
      </c>
      <c r="GO6" t="e">
        <f ca="1">Time!A12+"Ug1!7O"</f>
        <v>#VALUE!</v>
      </c>
      <c r="GP6" t="e">
        <f ca="1">Time!B12+"Ug1!7P"</f>
        <v>#VALUE!</v>
      </c>
      <c r="GQ6" t="e">
        <f ca="1">Time!C12+"Ug1!7Q"</f>
        <v>#VALUE!</v>
      </c>
      <c r="GR6" t="e">
        <f ca="1">Time!D12+"Ug1!7R"</f>
        <v>#VALUE!</v>
      </c>
      <c r="GS6" t="e">
        <f ca="1">Time!E12+"Ug1!7S"</f>
        <v>#VALUE!</v>
      </c>
      <c r="GT6" t="e">
        <f ca="1">Time!F12+"Ug1!7T"</f>
        <v>#VALUE!</v>
      </c>
      <c r="GU6" t="e">
        <f ca="1">Time!G12+"Ug1!7U"</f>
        <v>#VALUE!</v>
      </c>
      <c r="GV6" t="e">
        <f ca="1">Time!E13+"Ug1!7V"</f>
        <v>#VALUE!</v>
      </c>
      <c r="GW6" t="e">
        <f ca="1">Time!F13+"Ug1!7W"</f>
        <v>#VALUE!</v>
      </c>
      <c r="GX6" t="e">
        <f ca="1">Time!G13+"Ug1!7X"</f>
        <v>#VALUE!</v>
      </c>
      <c r="GY6" t="e">
        <f ca="1">Time!A14+"Ug1!7Y"</f>
        <v>#VALUE!</v>
      </c>
      <c r="GZ6" t="e">
        <f ca="1">Time!B14+"Ug1!7Z"</f>
        <v>#VALUE!</v>
      </c>
      <c r="HA6" t="e">
        <f ca="1">Time!C14+"Ug1!7["</f>
        <v>#VALUE!</v>
      </c>
      <c r="HB6" t="e">
        <f ca="1">Time!D14+"Ug1!7\"</f>
        <v>#VALUE!</v>
      </c>
      <c r="HC6" t="e">
        <f ca="1">Time!E14+"Ug1!7]"</f>
        <v>#VALUE!</v>
      </c>
      <c r="HD6" t="e">
        <f ca="1">Time!F14+"Ug1!7^"</f>
        <v>#VALUE!</v>
      </c>
      <c r="HE6" t="e">
        <f ca="1">Time!G14+"Ug1!7_"</f>
        <v>#VALUE!</v>
      </c>
      <c r="HF6" t="e">
        <f ca="1">Time!H14+"Ug1!7`"</f>
        <v>#VALUE!</v>
      </c>
      <c r="HG6" t="e">
        <f ca="1">Time!I14+"Ug1!7a"</f>
        <v>#VALUE!</v>
      </c>
      <c r="HH6" t="e">
        <f ca="1">Time!J14+"Ug1!7b"</f>
        <v>#VALUE!</v>
      </c>
      <c r="HI6" t="e">
        <f ca="1">Time!K14+"Ug1!7c"</f>
        <v>#VALUE!</v>
      </c>
      <c r="HJ6" t="e">
        <f ca="1">Time!L14+"Ug1!7d"</f>
        <v>#VALUE!</v>
      </c>
      <c r="HK6" t="e">
        <f ca="1">Time!M14+"Ug1!7e"</f>
        <v>#VALUE!</v>
      </c>
      <c r="HL6" t="e">
        <f ca="1">Time!N14+"Ug1!7f"</f>
        <v>#VALUE!</v>
      </c>
      <c r="HM6" t="e">
        <f ca="1">Time!O14+"Ug1!7g"</f>
        <v>#VALUE!</v>
      </c>
      <c r="HN6" t="e">
        <f ca="1">Time!P14+"Ug1!7h"</f>
        <v>#VALUE!</v>
      </c>
      <c r="HO6" t="e">
        <f ca="1">Time!Q14+"Ug1!7i"</f>
        <v>#VALUE!</v>
      </c>
      <c r="HP6" t="e">
        <f ca="1">Time!R14+"Ug1!7j"</f>
        <v>#VALUE!</v>
      </c>
      <c r="HQ6" t="e">
        <f ca="1">Time!S14+"Ug1!7k"</f>
        <v>#VALUE!</v>
      </c>
      <c r="HR6" t="e">
        <f ca="1">Time!T14+"Ug1!7l"</f>
        <v>#VALUE!</v>
      </c>
      <c r="HS6" t="e">
        <f ca="1">Time!U14+"Ug1!7m"</f>
        <v>#VALUE!</v>
      </c>
      <c r="HT6" t="e">
        <f ca="1">Time!V14+"Ug1!7n"</f>
        <v>#VALUE!</v>
      </c>
      <c r="HU6" t="e">
        <f ca="1">Time!W14+"Ug1!7o"</f>
        <v>#VALUE!</v>
      </c>
      <c r="HV6" t="e">
        <f ca="1">Time!X14+"Ug1!7p"</f>
        <v>#VALUE!</v>
      </c>
      <c r="HW6" t="e">
        <f ca="1">Time!Y14+"Ug1!7q"</f>
        <v>#VALUE!</v>
      </c>
      <c r="HX6" t="e">
        <f ca="1">Time!Z14+"Ug1!7r"</f>
        <v>#VALUE!</v>
      </c>
      <c r="HY6" t="e">
        <f ca="1">Time!AA14+"Ug1!7s"</f>
        <v>#VALUE!</v>
      </c>
      <c r="HZ6" t="e">
        <f ca="1">Time!AB14+"Ug1!7t"</f>
        <v>#VALUE!</v>
      </c>
      <c r="IA6" t="e">
        <f ca="1">Time!AC14+"Ug1!7u"</f>
        <v>#VALUE!</v>
      </c>
      <c r="IB6" t="e">
        <f ca="1">Time!AD14+"Ug1!7v"</f>
        <v>#VALUE!</v>
      </c>
      <c r="IC6" t="e">
        <f ca="1">Time!AE14+"Ug1!7w"</f>
        <v>#VALUE!</v>
      </c>
      <c r="ID6" t="e">
        <f ca="1">Time!AF14+"Ug1!7x"</f>
        <v>#VALUE!</v>
      </c>
      <c r="IE6" t="e">
        <f ca="1">Time!AG14+"Ug1!7y"</f>
        <v>#VALUE!</v>
      </c>
      <c r="IF6" t="e">
        <f ca="1">Time!AH14+"Ug1!7z"</f>
        <v>#VALUE!</v>
      </c>
      <c r="IG6" t="e">
        <f ca="1">Time!AI14+"Ug1!7{"</f>
        <v>#VALUE!</v>
      </c>
      <c r="IH6" t="e">
        <f ca="1">Time!AJ14+"Ug1!7|"</f>
        <v>#VALUE!</v>
      </c>
      <c r="II6" t="e">
        <f ca="1">Time!AK14+"Ug1!7}"</f>
        <v>#VALUE!</v>
      </c>
      <c r="IJ6" t="e">
        <f ca="1">Time!AL14+"Ug1!7~"</f>
        <v>#VALUE!</v>
      </c>
      <c r="IK6" t="e">
        <f ca="1">Time!AM14+"Ug1!8#"</f>
        <v>#VALUE!</v>
      </c>
      <c r="IL6" t="e">
        <f ca="1">Time!AN14+"Ug1!8$"</f>
        <v>#VALUE!</v>
      </c>
      <c r="IM6" t="e">
        <f ca="1">Time!AO14+"Ug1!8%"</f>
        <v>#VALUE!</v>
      </c>
      <c r="IN6" t="e">
        <f ca="1">Time!AP14+"Ug1!8&amp;"</f>
        <v>#VALUE!</v>
      </c>
      <c r="IO6" t="e">
        <f ca="1">Time!AQ14+"Ug1!8'"</f>
        <v>#VALUE!</v>
      </c>
      <c r="IP6" t="e">
        <f ca="1">Time!AR14+"Ug1!8("</f>
        <v>#VALUE!</v>
      </c>
      <c r="IQ6" t="e">
        <f ca="1">Time!AS14+"Ug1!8)"</f>
        <v>#VALUE!</v>
      </c>
      <c r="IR6" t="e">
        <f ca="1">Time!AT14+"Ug1!8."</f>
        <v>#VALUE!</v>
      </c>
      <c r="IS6" t="e">
        <f ca="1">Time!AU14+"Ug1!8/"</f>
        <v>#VALUE!</v>
      </c>
      <c r="IT6" t="e">
        <f ca="1">Time!AV14+"Ug1!80"</f>
        <v>#VALUE!</v>
      </c>
      <c r="IU6" t="e">
        <f ca="1">Time!AW14+"Ug1!81"</f>
        <v>#VALUE!</v>
      </c>
      <c r="IV6" t="e">
        <f ca="1">Time!AX14+"Ug1!82"</f>
        <v>#VALUE!</v>
      </c>
    </row>
    <row r="7" spans="1:256" x14ac:dyDescent="0.2">
      <c r="F7" t="e">
        <f ca="1">Time!AY14+"Ug1!83"</f>
        <v>#VALUE!</v>
      </c>
      <c r="G7" t="e">
        <f ca="1">Time!AZ14+"Ug1!84"</f>
        <v>#VALUE!</v>
      </c>
      <c r="H7" t="e">
        <f ca="1">Time!BA14+"Ug1!85"</f>
        <v>#VALUE!</v>
      </c>
      <c r="I7" t="e">
        <f ca="1">Time!BB14+"Ug1!86"</f>
        <v>#VALUE!</v>
      </c>
      <c r="J7" t="e">
        <f ca="1">Time!BC14+"Ug1!87"</f>
        <v>#VALUE!</v>
      </c>
      <c r="K7" t="e">
        <f ca="1">Time!BD14+"Ug1!88"</f>
        <v>#VALUE!</v>
      </c>
      <c r="L7" t="e">
        <f ca="1">Time!BE14+"Ug1!89"</f>
        <v>#VALUE!</v>
      </c>
      <c r="M7" t="e">
        <f ca="1">Time!BF14+"Ug1!8:"</f>
        <v>#VALUE!</v>
      </c>
      <c r="N7" t="e">
        <f ca="1">Time!BG14+"Ug1!8;"</f>
        <v>#VALUE!</v>
      </c>
      <c r="O7" t="e">
        <f ca="1">Time!BH14+"Ug1!8&lt;"</f>
        <v>#VALUE!</v>
      </c>
      <c r="P7" t="e">
        <f ca="1">Time!BI14+"Ug1!8="</f>
        <v>#VALUE!</v>
      </c>
      <c r="Q7" t="e">
        <f ca="1">Time!BJ14+"Ug1!8&gt;"</f>
        <v>#VALUE!</v>
      </c>
      <c r="R7" t="e">
        <f ca="1">Time!BK14+"Ug1!8?"</f>
        <v>#VALUE!</v>
      </c>
      <c r="S7" t="e">
        <f ca="1">Time!BL14+"Ug1!8@"</f>
        <v>#VALUE!</v>
      </c>
      <c r="T7" t="e">
        <f ca="1">Time!BM14+"Ug1!8A"</f>
        <v>#VALUE!</v>
      </c>
      <c r="U7" t="e">
        <f ca="1">Time!BN14+"Ug1!8B"</f>
        <v>#VALUE!</v>
      </c>
      <c r="V7" t="e">
        <f ca="1">Time!BO14+"Ug1!8C"</f>
        <v>#VALUE!</v>
      </c>
      <c r="W7" t="e">
        <f ca="1">Time!BP14+"Ug1!8D"</f>
        <v>#VALUE!</v>
      </c>
      <c r="X7" t="e">
        <f ca="1">Time!BQ14+"Ug1!8E"</f>
        <v>#VALUE!</v>
      </c>
      <c r="Y7" t="e">
        <f ca="1">Time!BR14+"Ug1!8F"</f>
        <v>#VALUE!</v>
      </c>
      <c r="Z7" t="e">
        <f ca="1">Time!BS14+"Ug1!8G"</f>
        <v>#VALUE!</v>
      </c>
      <c r="AA7" t="e">
        <f ca="1">Time!BT14+"Ug1!8H"</f>
        <v>#VALUE!</v>
      </c>
      <c r="AB7" t="e">
        <f ca="1">Time!BU14+"Ug1!8I"</f>
        <v>#VALUE!</v>
      </c>
      <c r="AC7" t="e">
        <f ca="1">Time!BV14+"Ug1!8J"</f>
        <v>#VALUE!</v>
      </c>
      <c r="AD7" t="e">
        <f ca="1">Time!BW14+"Ug1!8K"</f>
        <v>#VALUE!</v>
      </c>
      <c r="AE7" t="e">
        <f ca="1">Time!BX14+"Ug1!8L"</f>
        <v>#VALUE!</v>
      </c>
      <c r="AF7" t="e">
        <f ca="1">Time!BY14+"Ug1!8M"</f>
        <v>#VALUE!</v>
      </c>
      <c r="AG7" t="e">
        <f ca="1">Time!A15+"Ug1!8N"</f>
        <v>#VALUE!</v>
      </c>
      <c r="AH7" t="e">
        <f ca="1">Time!B15+"Ug1!8O"</f>
        <v>#VALUE!</v>
      </c>
      <c r="AI7" t="e">
        <f ca="1">Time!C15+"Ug1!8P"</f>
        <v>#VALUE!</v>
      </c>
      <c r="AJ7" t="e">
        <f ca="1">Time!D15+"Ug1!8Q"</f>
        <v>#VALUE!</v>
      </c>
      <c r="AK7" t="e">
        <f ca="1">Time!E15+"Ug1!8R"</f>
        <v>#VALUE!</v>
      </c>
      <c r="AL7" t="e">
        <f ca="1">Time!G15+"Ug1!8S"</f>
        <v>#VALUE!</v>
      </c>
      <c r="AM7" t="e">
        <f ca="1">Time!I15+"Ug1!8T"</f>
        <v>#VALUE!</v>
      </c>
      <c r="AN7" t="e">
        <f ca="1">Time!J15+"Ug1!8U"</f>
        <v>#VALUE!</v>
      </c>
      <c r="AO7" t="e">
        <f ca="1">Time!K15+"Ug1!8V"</f>
        <v>#VALUE!</v>
      </c>
      <c r="AP7" t="e">
        <f ca="1">Time!L15+"Ug1!8W"</f>
        <v>#VALUE!</v>
      </c>
      <c r="AQ7" t="e">
        <f ca="1">Time!M15+"Ug1!8X"</f>
        <v>#VALUE!</v>
      </c>
      <c r="AR7" t="e">
        <f ca="1">Time!N15+"Ug1!8Y"</f>
        <v>#VALUE!</v>
      </c>
      <c r="AS7" t="e">
        <f ca="1">Time!O15+"Ug1!8Z"</f>
        <v>#VALUE!</v>
      </c>
      <c r="AT7" t="e">
        <f ca="1">Time!P15+"Ug1!8["</f>
        <v>#VALUE!</v>
      </c>
      <c r="AU7" t="e">
        <f ca="1">Time!Q15+"Ug1!8\"</f>
        <v>#VALUE!</v>
      </c>
      <c r="AV7" t="e">
        <f ca="1">Time!R15+"Ug1!8]"</f>
        <v>#VALUE!</v>
      </c>
      <c r="AW7" t="e">
        <f ca="1">Time!S15+"Ug1!8^"</f>
        <v>#VALUE!</v>
      </c>
      <c r="AX7" t="e">
        <f ca="1">Time!T15+"Ug1!8_"</f>
        <v>#VALUE!</v>
      </c>
      <c r="AY7" t="e">
        <f ca="1">Time!U15+"Ug1!8`"</f>
        <v>#VALUE!</v>
      </c>
      <c r="AZ7" t="e">
        <f ca="1">Time!V15+"Ug1!8a"</f>
        <v>#VALUE!</v>
      </c>
      <c r="BA7" t="e">
        <f ca="1">Time!W15+"Ug1!8b"</f>
        <v>#VALUE!</v>
      </c>
      <c r="BB7" t="e">
        <f ca="1">Time!X15+"Ug1!8c"</f>
        <v>#VALUE!</v>
      </c>
      <c r="BC7" t="e">
        <f ca="1">Time!Y15+"Ug1!8d"</f>
        <v>#VALUE!</v>
      </c>
      <c r="BD7" t="e">
        <f ca="1">Time!Z15+"Ug1!8e"</f>
        <v>#VALUE!</v>
      </c>
      <c r="BE7" t="e">
        <f ca="1">Time!AA15+"Ug1!8f"</f>
        <v>#VALUE!</v>
      </c>
      <c r="BF7" t="e">
        <f ca="1">Time!AB15+"Ug1!8g"</f>
        <v>#VALUE!</v>
      </c>
      <c r="BG7" t="e">
        <f ca="1">Time!AC15+"Ug1!8h"</f>
        <v>#VALUE!</v>
      </c>
      <c r="BH7" t="e">
        <f ca="1">Time!AD15+"Ug1!8i"</f>
        <v>#VALUE!</v>
      </c>
      <c r="BI7" t="e">
        <f ca="1">Time!AE15+"Ug1!8j"</f>
        <v>#VALUE!</v>
      </c>
      <c r="BJ7" t="e">
        <f ca="1">Time!AF15+"Ug1!8k"</f>
        <v>#VALUE!</v>
      </c>
      <c r="BK7" t="e">
        <f ca="1">Time!AG15+"Ug1!8l"</f>
        <v>#VALUE!</v>
      </c>
      <c r="BL7" t="e">
        <f ca="1">Time!AH15+"Ug1!8m"</f>
        <v>#VALUE!</v>
      </c>
      <c r="BM7" t="e">
        <f ca="1">Time!AI15+"Ug1!8n"</f>
        <v>#VALUE!</v>
      </c>
      <c r="BN7" t="e">
        <f ca="1">Time!AJ15+"Ug1!8o"</f>
        <v>#VALUE!</v>
      </c>
      <c r="BO7" t="e">
        <f ca="1">Time!AK15+"Ug1!8p"</f>
        <v>#VALUE!</v>
      </c>
      <c r="BP7" t="e">
        <f ca="1">Time!AL15+"Ug1!8q"</f>
        <v>#VALUE!</v>
      </c>
      <c r="BQ7" t="e">
        <f ca="1">Time!AM15+"Ug1!8r"</f>
        <v>#VALUE!</v>
      </c>
      <c r="BR7" t="e">
        <f ca="1">Time!AN15+"Ug1!8s"</f>
        <v>#VALUE!</v>
      </c>
      <c r="BS7" t="e">
        <f ca="1">Time!AO15+"Ug1!8t"</f>
        <v>#VALUE!</v>
      </c>
      <c r="BT7" t="e">
        <f ca="1">Time!AP15+"Ug1!8u"</f>
        <v>#VALUE!</v>
      </c>
      <c r="BU7" t="e">
        <f ca="1">Time!AQ15+"Ug1!8v"</f>
        <v>#VALUE!</v>
      </c>
      <c r="BV7" t="e">
        <f ca="1">Time!AR15+"Ug1!8w"</f>
        <v>#VALUE!</v>
      </c>
      <c r="BW7" t="e">
        <f ca="1">Time!AS15+"Ug1!8x"</f>
        <v>#VALUE!</v>
      </c>
      <c r="BX7" t="e">
        <f ca="1">Time!AT15+"Ug1!8y"</f>
        <v>#VALUE!</v>
      </c>
      <c r="BY7" t="e">
        <f ca="1">Time!AU15+"Ug1!8z"</f>
        <v>#VALUE!</v>
      </c>
      <c r="BZ7" t="e">
        <f ca="1">Time!AV15+"Ug1!8{"</f>
        <v>#VALUE!</v>
      </c>
      <c r="CA7" t="e">
        <f ca="1">Time!AW15+"Ug1!8|"</f>
        <v>#VALUE!</v>
      </c>
      <c r="CB7" t="e">
        <f ca="1">Time!AX15+"Ug1!8}"</f>
        <v>#VALUE!</v>
      </c>
      <c r="CC7" t="e">
        <f ca="1">Time!AY15+"Ug1!8~"</f>
        <v>#VALUE!</v>
      </c>
      <c r="CD7" t="e">
        <f ca="1">Time!AZ15+"Ug1!9#"</f>
        <v>#VALUE!</v>
      </c>
      <c r="CE7" t="e">
        <f ca="1">Time!BA15+"Ug1!9$"</f>
        <v>#VALUE!</v>
      </c>
      <c r="CF7" t="e">
        <f ca="1">Time!BB15+"Ug1!9%"</f>
        <v>#VALUE!</v>
      </c>
      <c r="CG7" t="e">
        <f ca="1">Time!BC15+"Ug1!9&amp;"</f>
        <v>#VALUE!</v>
      </c>
      <c r="CH7" t="e">
        <f ca="1">Time!BD15+"Ug1!9'"</f>
        <v>#VALUE!</v>
      </c>
      <c r="CI7" t="e">
        <f ca="1">Time!BE15+"Ug1!9("</f>
        <v>#VALUE!</v>
      </c>
      <c r="CJ7" t="e">
        <f ca="1">Time!BF15+"Ug1!9)"</f>
        <v>#VALUE!</v>
      </c>
      <c r="CK7" t="e">
        <f ca="1">Time!BG15+"Ug1!9."</f>
        <v>#VALUE!</v>
      </c>
      <c r="CL7" t="e">
        <f ca="1">Time!BH15+"Ug1!9/"</f>
        <v>#VALUE!</v>
      </c>
      <c r="CM7" t="e">
        <f ca="1">Time!BI15+"Ug1!90"</f>
        <v>#VALUE!</v>
      </c>
      <c r="CN7" t="e">
        <f ca="1">Time!BJ15+"Ug1!91"</f>
        <v>#VALUE!</v>
      </c>
      <c r="CO7" t="e">
        <f ca="1">Time!BK15+"Ug1!92"</f>
        <v>#VALUE!</v>
      </c>
      <c r="CP7" t="e">
        <f ca="1">Time!BL15+"Ug1!93"</f>
        <v>#VALUE!</v>
      </c>
      <c r="CQ7" t="e">
        <f ca="1">Time!BM15+"Ug1!94"</f>
        <v>#VALUE!</v>
      </c>
      <c r="CR7" t="e">
        <f ca="1">Time!BN15+"Ug1!95"</f>
        <v>#VALUE!</v>
      </c>
      <c r="CS7" t="e">
        <f ca="1">Time!BO15+"Ug1!96"</f>
        <v>#VALUE!</v>
      </c>
      <c r="CT7" t="e">
        <f ca="1">Time!BP15+"Ug1!97"</f>
        <v>#VALUE!</v>
      </c>
      <c r="CU7" t="e">
        <f ca="1">Time!BQ15+"Ug1!98"</f>
        <v>#VALUE!</v>
      </c>
      <c r="CV7" t="e">
        <f ca="1">Time!BR15+"Ug1!99"</f>
        <v>#VALUE!</v>
      </c>
      <c r="CW7" t="e">
        <f ca="1">Time!BS15+"Ug1!9:"</f>
        <v>#VALUE!</v>
      </c>
      <c r="CX7" t="e">
        <f ca="1">Time!BT15+"Ug1!9;"</f>
        <v>#VALUE!</v>
      </c>
      <c r="CY7" t="e">
        <f ca="1">Time!BU15+"Ug1!9&lt;"</f>
        <v>#VALUE!</v>
      </c>
      <c r="CZ7" t="e">
        <f ca="1">Time!BV15+"Ug1!9="</f>
        <v>#VALUE!</v>
      </c>
      <c r="DA7" t="e">
        <f ca="1">Time!BW15+"Ug1!9&gt;"</f>
        <v>#VALUE!</v>
      </c>
      <c r="DB7" t="e">
        <f ca="1">Time!BX15+"Ug1!9?"</f>
        <v>#VALUE!</v>
      </c>
      <c r="DC7" t="e">
        <f ca="1">Time!BY15+"Ug1!9@"</f>
        <v>#VALUE!</v>
      </c>
      <c r="DD7" t="e">
        <f ca="1">Time!A16+"Ug1!9A"</f>
        <v>#VALUE!</v>
      </c>
      <c r="DE7" t="e">
        <f ca="1">Time!B16+"Ug1!9B"</f>
        <v>#VALUE!</v>
      </c>
      <c r="DF7" t="e">
        <f ca="1">Time!C16+"Ug1!9C"</f>
        <v>#VALUE!</v>
      </c>
      <c r="DG7" t="e">
        <f ca="1">Time!E17+"Ug1!9D"</f>
        <v>#VALUE!</v>
      </c>
      <c r="DH7" t="e">
        <f ca="1">Time!F17+"Ug1!9E"</f>
        <v>#VALUE!</v>
      </c>
      <c r="DI7" t="e">
        <f ca="1">Time!G17+"Ug1!9F"</f>
        <v>#VALUE!</v>
      </c>
      <c r="DJ7" t="e">
        <f ca="1">Time!A18+"Ug1!9G"</f>
        <v>#VALUE!</v>
      </c>
      <c r="DK7" t="e">
        <f ca="1">Time!B18+"Ug1!9H"</f>
        <v>#VALUE!</v>
      </c>
      <c r="DL7" t="e">
        <f ca="1">Time!C18+"Ug1!9I"</f>
        <v>#VALUE!</v>
      </c>
      <c r="DM7" t="e">
        <f ca="1">Time!D18+"Ug1!9J"</f>
        <v>#VALUE!</v>
      </c>
      <c r="DN7" t="e">
        <f ca="1">Time!E18+"Ug1!9K"</f>
        <v>#VALUE!</v>
      </c>
      <c r="DO7" t="e">
        <f ca="1">Time!F18+"Ug1!9L"</f>
        <v>#VALUE!</v>
      </c>
      <c r="DP7" t="e">
        <f ca="1">Time!G18+"Ug1!9M"</f>
        <v>#VALUE!</v>
      </c>
      <c r="DQ7" t="e">
        <f ca="1">Time!H18+"Ug1!9N"</f>
        <v>#VALUE!</v>
      </c>
      <c r="DR7" t="e">
        <f ca="1">Time!I18+"Ug1!9O"</f>
        <v>#VALUE!</v>
      </c>
      <c r="DS7" t="e">
        <f ca="1">Time!J18+"Ug1!9P"</f>
        <v>#VALUE!</v>
      </c>
      <c r="DT7" t="e">
        <f ca="1">Time!K18+"Ug1!9Q"</f>
        <v>#VALUE!</v>
      </c>
      <c r="DU7" t="e">
        <f ca="1">Time!L18+"Ug1!9R"</f>
        <v>#VALUE!</v>
      </c>
      <c r="DV7" t="e">
        <f ca="1">Time!M18+"Ug1!9S"</f>
        <v>#VALUE!</v>
      </c>
      <c r="DW7" t="e">
        <f ca="1">Time!N18+"Ug1!9T"</f>
        <v>#VALUE!</v>
      </c>
      <c r="DX7" t="e">
        <f ca="1">Time!O18+"Ug1!9U"</f>
        <v>#VALUE!</v>
      </c>
      <c r="DY7" t="e">
        <f ca="1">Time!P18+"Ug1!9V"</f>
        <v>#VALUE!</v>
      </c>
      <c r="DZ7" t="e">
        <f ca="1">Time!Q18+"Ug1!9W"</f>
        <v>#VALUE!</v>
      </c>
      <c r="EA7" t="e">
        <f ca="1">Time!R18+"Ug1!9X"</f>
        <v>#VALUE!</v>
      </c>
      <c r="EB7" t="e">
        <f ca="1">Time!S18+"Ug1!9Y"</f>
        <v>#VALUE!</v>
      </c>
      <c r="EC7" t="e">
        <f ca="1">Time!T18+"Ug1!9Z"</f>
        <v>#VALUE!</v>
      </c>
      <c r="ED7" t="e">
        <f ca="1">Time!U18+"Ug1!9["</f>
        <v>#VALUE!</v>
      </c>
      <c r="EE7" t="e">
        <f ca="1">Time!V18+"Ug1!9\"</f>
        <v>#VALUE!</v>
      </c>
      <c r="EF7" t="e">
        <f ca="1">Time!W18+"Ug1!9]"</f>
        <v>#VALUE!</v>
      </c>
      <c r="EG7" t="e">
        <f ca="1">Time!X18+"Ug1!9^"</f>
        <v>#VALUE!</v>
      </c>
      <c r="EH7" t="e">
        <f ca="1">Time!Y18+"Ug1!9_"</f>
        <v>#VALUE!</v>
      </c>
      <c r="EI7" t="e">
        <f ca="1">Time!Z18+"Ug1!9`"</f>
        <v>#VALUE!</v>
      </c>
      <c r="EJ7" t="e">
        <f ca="1">Time!AA18+"Ug1!9a"</f>
        <v>#VALUE!</v>
      </c>
      <c r="EK7" t="e">
        <f ca="1">Time!AB18+"Ug1!9b"</f>
        <v>#VALUE!</v>
      </c>
      <c r="EL7" t="e">
        <f ca="1">Time!AC18+"Ug1!9c"</f>
        <v>#VALUE!</v>
      </c>
      <c r="EM7" t="e">
        <f ca="1">Time!AD18+"Ug1!9d"</f>
        <v>#VALUE!</v>
      </c>
      <c r="EN7" t="e">
        <f ca="1">Time!AE18+"Ug1!9e"</f>
        <v>#VALUE!</v>
      </c>
      <c r="EO7" t="e">
        <f ca="1">Time!AF18+"Ug1!9f"</f>
        <v>#VALUE!</v>
      </c>
      <c r="EP7" t="e">
        <f ca="1">Time!AG18+"Ug1!9g"</f>
        <v>#VALUE!</v>
      </c>
      <c r="EQ7" t="e">
        <f ca="1">Time!AH18+"Ug1!9h"</f>
        <v>#VALUE!</v>
      </c>
      <c r="ER7" t="e">
        <f ca="1">Time!AI18+"Ug1!9i"</f>
        <v>#VALUE!</v>
      </c>
      <c r="ES7" t="e">
        <f ca="1">Time!AJ18+"Ug1!9j"</f>
        <v>#VALUE!</v>
      </c>
      <c r="ET7" t="e">
        <f ca="1">Time!AK18+"Ug1!9k"</f>
        <v>#VALUE!</v>
      </c>
      <c r="EU7" t="e">
        <f ca="1">Time!AL18+"Ug1!9l"</f>
        <v>#VALUE!</v>
      </c>
      <c r="EV7" t="e">
        <f ca="1">Time!AM18+"Ug1!9m"</f>
        <v>#VALUE!</v>
      </c>
      <c r="EW7" t="e">
        <f ca="1">Time!AN18+"Ug1!9n"</f>
        <v>#VALUE!</v>
      </c>
      <c r="EX7" t="e">
        <f ca="1">Time!AO18+"Ug1!9o"</f>
        <v>#VALUE!</v>
      </c>
      <c r="EY7" t="e">
        <f ca="1">Time!AP18+"Ug1!9p"</f>
        <v>#VALUE!</v>
      </c>
      <c r="EZ7" t="e">
        <f ca="1">Time!AQ18+"Ug1!9q"</f>
        <v>#VALUE!</v>
      </c>
      <c r="FA7" t="e">
        <f ca="1">Time!AR18+"Ug1!9r"</f>
        <v>#VALUE!</v>
      </c>
      <c r="FB7" t="e">
        <f ca="1">Time!AS18+"Ug1!9s"</f>
        <v>#VALUE!</v>
      </c>
      <c r="FC7" t="e">
        <f ca="1">Time!AT18+"Ug1!9t"</f>
        <v>#VALUE!</v>
      </c>
      <c r="FD7" t="e">
        <f ca="1">Time!AU18+"Ug1!9u"</f>
        <v>#VALUE!</v>
      </c>
      <c r="FE7" t="e">
        <f ca="1">Time!AV18+"Ug1!9v"</f>
        <v>#VALUE!</v>
      </c>
      <c r="FF7" t="e">
        <f ca="1">Time!AW18+"Ug1!9w"</f>
        <v>#VALUE!</v>
      </c>
      <c r="FG7" t="e">
        <f ca="1">Time!AX18+"Ug1!9x"</f>
        <v>#VALUE!</v>
      </c>
      <c r="FH7" t="e">
        <f ca="1">Time!AY18+"Ug1!9y"</f>
        <v>#VALUE!</v>
      </c>
      <c r="FI7" t="e">
        <f ca="1">Time!AZ18+"Ug1!9z"</f>
        <v>#VALUE!</v>
      </c>
      <c r="FJ7" t="e">
        <f ca="1">Time!BA18+"Ug1!9{"</f>
        <v>#VALUE!</v>
      </c>
      <c r="FK7" t="e">
        <f ca="1">Time!BB18+"Ug1!9|"</f>
        <v>#VALUE!</v>
      </c>
      <c r="FL7" t="e">
        <f ca="1">Time!BC18+"Ug1!9}"</f>
        <v>#VALUE!</v>
      </c>
      <c r="FM7" t="e">
        <f ca="1">Time!BD18+"Ug1!9~"</f>
        <v>#VALUE!</v>
      </c>
      <c r="FN7" t="e">
        <f ca="1">Time!BE18+"Ug1!:#"</f>
        <v>#VALUE!</v>
      </c>
      <c r="FO7" t="e">
        <f ca="1">Time!BF18+"Ug1!:$"</f>
        <v>#VALUE!</v>
      </c>
      <c r="FP7" t="e">
        <f ca="1">Time!BG18+"Ug1!:%"</f>
        <v>#VALUE!</v>
      </c>
      <c r="FQ7" t="e">
        <f ca="1">Time!BH18+"Ug1!:&amp;"</f>
        <v>#VALUE!</v>
      </c>
      <c r="FR7" t="e">
        <f ca="1">Time!BI18+"Ug1!:'"</f>
        <v>#VALUE!</v>
      </c>
      <c r="FS7" t="e">
        <f ca="1">Time!BJ18+"Ug1!:("</f>
        <v>#VALUE!</v>
      </c>
      <c r="FT7" t="e">
        <f ca="1">Time!BK18+"Ug1!:)"</f>
        <v>#VALUE!</v>
      </c>
      <c r="FU7" t="e">
        <f ca="1">Time!BL18+"Ug1!:."</f>
        <v>#VALUE!</v>
      </c>
      <c r="FV7" t="e">
        <f ca="1">Time!BM18+"Ug1!:/"</f>
        <v>#VALUE!</v>
      </c>
      <c r="FW7" t="e">
        <f ca="1">Time!BN18+"Ug1!:0"</f>
        <v>#VALUE!</v>
      </c>
      <c r="FX7" t="e">
        <f ca="1">Time!BO18+"Ug1!:1"</f>
        <v>#VALUE!</v>
      </c>
      <c r="FY7" t="e">
        <f ca="1">Time!BP18+"Ug1!:2"</f>
        <v>#VALUE!</v>
      </c>
      <c r="FZ7" t="e">
        <f ca="1">Time!BQ18+"Ug1!:3"</f>
        <v>#VALUE!</v>
      </c>
      <c r="GA7" t="e">
        <f ca="1">Time!BR18+"Ug1!:4"</f>
        <v>#VALUE!</v>
      </c>
      <c r="GB7" t="e">
        <f ca="1">Time!BS18+"Ug1!:5"</f>
        <v>#VALUE!</v>
      </c>
      <c r="GC7" t="e">
        <f ca="1">Time!BT18+"Ug1!:6"</f>
        <v>#VALUE!</v>
      </c>
      <c r="GD7" t="e">
        <f ca="1">Time!BU18+"Ug1!:7"</f>
        <v>#VALUE!</v>
      </c>
      <c r="GE7" t="e">
        <f ca="1">Time!BV18+"Ug1!:8"</f>
        <v>#VALUE!</v>
      </c>
      <c r="GF7" t="e">
        <f ca="1">Time!BW18+"Ug1!:9"</f>
        <v>#VALUE!</v>
      </c>
      <c r="GG7" t="e">
        <f ca="1">Time!BX18+"Ug1!::"</f>
        <v>#VALUE!</v>
      </c>
      <c r="GH7" t="e">
        <f ca="1">Time!BY18+"Ug1!:;"</f>
        <v>#VALUE!</v>
      </c>
      <c r="GI7" t="e">
        <f ca="1">Time!A19+"Ug1!:&lt;"</f>
        <v>#VALUE!</v>
      </c>
      <c r="GJ7" t="e">
        <f ca="1">Time!B19+"Ug1!:="</f>
        <v>#VALUE!</v>
      </c>
      <c r="GK7" t="e">
        <f ca="1">Time!C19+"Ug1!:&gt;"</f>
        <v>#VALUE!</v>
      </c>
      <c r="GL7" t="e">
        <f ca="1">Time!D19+"Ug1!:?"</f>
        <v>#VALUE!</v>
      </c>
      <c r="GM7" t="e">
        <f ca="1">Time!E19+"Ug1!:@"</f>
        <v>#VALUE!</v>
      </c>
      <c r="GN7" t="e">
        <f ca="1">Time!G19+"Ug1!:A"</f>
        <v>#VALUE!</v>
      </c>
      <c r="GO7" t="e">
        <f ca="1">Time!J19+"Ug1!:B"</f>
        <v>#VALUE!</v>
      </c>
      <c r="GP7" t="e">
        <f ca="1">Time!K19+"Ug1!:C"</f>
        <v>#VALUE!</v>
      </c>
      <c r="GQ7" t="e">
        <f ca="1">Time!L19+"Ug1!:D"</f>
        <v>#VALUE!</v>
      </c>
      <c r="GR7" t="e">
        <f ca="1">Time!M19+"Ug1!:E"</f>
        <v>#VALUE!</v>
      </c>
      <c r="GS7" t="e">
        <f ca="1">Time!N19+"Ug1!:F"</f>
        <v>#VALUE!</v>
      </c>
      <c r="GT7" t="e">
        <f ca="1">Time!O19+"Ug1!:G"</f>
        <v>#VALUE!</v>
      </c>
      <c r="GU7" t="e">
        <f ca="1">Time!P19+"Ug1!:H"</f>
        <v>#VALUE!</v>
      </c>
      <c r="GV7" t="e">
        <f ca="1">Time!Q19+"Ug1!:I"</f>
        <v>#VALUE!</v>
      </c>
      <c r="GW7" t="e">
        <f ca="1">Time!R19+"Ug1!:J"</f>
        <v>#VALUE!</v>
      </c>
      <c r="GX7" t="e">
        <f ca="1">Time!S19+"Ug1!:K"</f>
        <v>#VALUE!</v>
      </c>
      <c r="GY7" t="e">
        <f ca="1">Time!T19+"Ug1!:L"</f>
        <v>#VALUE!</v>
      </c>
      <c r="GZ7" t="e">
        <f ca="1">Time!U19+"Ug1!:M"</f>
        <v>#VALUE!</v>
      </c>
      <c r="HA7" t="e">
        <f ca="1">Time!V19+"Ug1!:N"</f>
        <v>#VALUE!</v>
      </c>
      <c r="HB7" t="e">
        <f ca="1">Time!W19+"Ug1!:O"</f>
        <v>#VALUE!</v>
      </c>
      <c r="HC7" t="e">
        <f ca="1">Time!X19+"Ug1!:P"</f>
        <v>#VALUE!</v>
      </c>
      <c r="HD7" t="e">
        <f ca="1">Time!Y19+"Ug1!:Q"</f>
        <v>#VALUE!</v>
      </c>
      <c r="HE7" t="e">
        <f ca="1">Time!Z19+"Ug1!:R"</f>
        <v>#VALUE!</v>
      </c>
      <c r="HF7" t="e">
        <f ca="1">Time!AA19+"Ug1!:S"</f>
        <v>#VALUE!</v>
      </c>
      <c r="HG7" t="e">
        <f ca="1">Time!AB19+"Ug1!:T"</f>
        <v>#VALUE!</v>
      </c>
      <c r="HH7" t="e">
        <f ca="1">Time!AC19+"Ug1!:U"</f>
        <v>#VALUE!</v>
      </c>
      <c r="HI7" t="e">
        <f ca="1">Time!AD19+"Ug1!:V"</f>
        <v>#VALUE!</v>
      </c>
      <c r="HJ7" t="e">
        <f ca="1">Time!AE19+"Ug1!:W"</f>
        <v>#VALUE!</v>
      </c>
      <c r="HK7" t="e">
        <f ca="1">Time!AF19+"Ug1!:X"</f>
        <v>#VALUE!</v>
      </c>
      <c r="HL7" t="e">
        <f ca="1">Time!AG19+"Ug1!:Y"</f>
        <v>#VALUE!</v>
      </c>
      <c r="HM7" t="e">
        <f ca="1">Time!AH19+"Ug1!:Z"</f>
        <v>#VALUE!</v>
      </c>
      <c r="HN7" t="e">
        <f ca="1">Time!AI19+"Ug1!:["</f>
        <v>#VALUE!</v>
      </c>
      <c r="HO7" t="e">
        <f ca="1">Time!AJ19+"Ug1!:\"</f>
        <v>#VALUE!</v>
      </c>
      <c r="HP7" t="e">
        <f ca="1">Time!AK19+"Ug1!:]"</f>
        <v>#VALUE!</v>
      </c>
      <c r="HQ7" t="e">
        <f ca="1">Time!AL19+"Ug1!:^"</f>
        <v>#VALUE!</v>
      </c>
      <c r="HR7" t="e">
        <f ca="1">Time!AM19+"Ug1!:_"</f>
        <v>#VALUE!</v>
      </c>
      <c r="HS7" t="e">
        <f ca="1">Time!AN19+"Ug1!:`"</f>
        <v>#VALUE!</v>
      </c>
      <c r="HT7" t="e">
        <f ca="1">Time!AO19+"Ug1!:a"</f>
        <v>#VALUE!</v>
      </c>
      <c r="HU7" t="e">
        <f ca="1">Time!AP19+"Ug1!:b"</f>
        <v>#VALUE!</v>
      </c>
      <c r="HV7" t="e">
        <f ca="1">Time!AQ19+"Ug1!:c"</f>
        <v>#VALUE!</v>
      </c>
      <c r="HW7" t="e">
        <f ca="1">Time!AR19+"Ug1!:d"</f>
        <v>#VALUE!</v>
      </c>
      <c r="HX7" t="e">
        <f ca="1">Time!AS19+"Ug1!:e"</f>
        <v>#VALUE!</v>
      </c>
      <c r="HY7" t="e">
        <f ca="1">Time!AT19+"Ug1!:f"</f>
        <v>#VALUE!</v>
      </c>
      <c r="HZ7" t="e">
        <f ca="1">Time!AU19+"Ug1!:g"</f>
        <v>#VALUE!</v>
      </c>
      <c r="IA7" t="e">
        <f ca="1">Time!AV19+"Ug1!:h"</f>
        <v>#VALUE!</v>
      </c>
      <c r="IB7" t="e">
        <f ca="1">Time!AW19+"Ug1!:i"</f>
        <v>#VALUE!</v>
      </c>
      <c r="IC7" t="e">
        <f ca="1">Time!AX19+"Ug1!:j"</f>
        <v>#VALUE!</v>
      </c>
      <c r="ID7" t="e">
        <f ca="1">Time!AY19+"Ug1!:k"</f>
        <v>#VALUE!</v>
      </c>
      <c r="IE7" t="e">
        <f ca="1">Time!AZ19+"Ug1!:l"</f>
        <v>#VALUE!</v>
      </c>
      <c r="IF7" t="e">
        <f ca="1">Time!BA19+"Ug1!:m"</f>
        <v>#VALUE!</v>
      </c>
      <c r="IG7" t="e">
        <f ca="1">Time!BB19+"Ug1!:n"</f>
        <v>#VALUE!</v>
      </c>
      <c r="IH7" t="e">
        <f ca="1">Time!BC19+"Ug1!:o"</f>
        <v>#VALUE!</v>
      </c>
      <c r="II7" t="e">
        <f ca="1">Time!BD19+"Ug1!:p"</f>
        <v>#VALUE!</v>
      </c>
      <c r="IJ7" t="e">
        <f ca="1">Time!BE19+"Ug1!:q"</f>
        <v>#VALUE!</v>
      </c>
      <c r="IK7" t="e">
        <f ca="1">Time!BF19+"Ug1!:r"</f>
        <v>#VALUE!</v>
      </c>
      <c r="IL7" t="e">
        <f ca="1">Time!BG19+"Ug1!:s"</f>
        <v>#VALUE!</v>
      </c>
      <c r="IM7" t="e">
        <f ca="1">Time!BH19+"Ug1!:t"</f>
        <v>#VALUE!</v>
      </c>
      <c r="IN7" t="e">
        <f ca="1">Time!BI19+"Ug1!:u"</f>
        <v>#VALUE!</v>
      </c>
      <c r="IO7" t="e">
        <f ca="1">Time!BJ19+"Ug1!:v"</f>
        <v>#VALUE!</v>
      </c>
      <c r="IP7" t="e">
        <f ca="1">Time!BK19+"Ug1!:w"</f>
        <v>#VALUE!</v>
      </c>
      <c r="IQ7" t="e">
        <f ca="1">Time!BL19+"Ug1!:x"</f>
        <v>#VALUE!</v>
      </c>
      <c r="IR7" t="e">
        <f ca="1">Time!BM19+"Ug1!:y"</f>
        <v>#VALUE!</v>
      </c>
      <c r="IS7" t="e">
        <f ca="1">Time!BN19+"Ug1!:z"</f>
        <v>#VALUE!</v>
      </c>
      <c r="IT7" t="e">
        <f ca="1">Time!BO19+"Ug1!:{"</f>
        <v>#VALUE!</v>
      </c>
      <c r="IU7" t="e">
        <f ca="1">Time!BP19+"Ug1!:|"</f>
        <v>#VALUE!</v>
      </c>
      <c r="IV7" t="e">
        <f ca="1">Time!BQ19+"Ug1!:}"</f>
        <v>#VALUE!</v>
      </c>
    </row>
    <row r="8" spans="1:256" x14ac:dyDescent="0.2">
      <c r="F8" t="e">
        <f ca="1">Time!BR19+"Ug1!:~"</f>
        <v>#VALUE!</v>
      </c>
      <c r="G8" t="e">
        <f ca="1">Time!BS19+"Ug1!;#"</f>
        <v>#VALUE!</v>
      </c>
      <c r="H8" t="e">
        <f ca="1">Time!BT19+"Ug1!;$"</f>
        <v>#VALUE!</v>
      </c>
      <c r="I8" t="e">
        <f ca="1">Time!BU19+"Ug1!;%"</f>
        <v>#VALUE!</v>
      </c>
      <c r="J8" t="e">
        <f ca="1">Time!BV19+"Ug1!;&amp;"</f>
        <v>#VALUE!</v>
      </c>
      <c r="K8" t="e">
        <f ca="1">Time!BW19+"Ug1!;'"</f>
        <v>#VALUE!</v>
      </c>
      <c r="L8" t="e">
        <f ca="1">Time!BX19+"Ug1!;("</f>
        <v>#VALUE!</v>
      </c>
      <c r="M8" t="e">
        <f ca="1">Time!BY19+"Ug1!;)"</f>
        <v>#VALUE!</v>
      </c>
      <c r="N8" t="e">
        <f ca="1">Time!A20+"Ug1!;."</f>
        <v>#VALUE!</v>
      </c>
      <c r="O8" t="e">
        <f ca="1">Time!B20+"Ug1!;/"</f>
        <v>#VALUE!</v>
      </c>
      <c r="P8" t="e">
        <f ca="1">Time!C20+"Ug1!;0"</f>
        <v>#VALUE!</v>
      </c>
      <c r="Q8" t="e">
        <f ca="1">Time!E21+"Ug1!;1"</f>
        <v>#VALUE!</v>
      </c>
      <c r="R8" t="e">
        <f ca="1">Time!F21+"Ug1!;2"</f>
        <v>#VALUE!</v>
      </c>
      <c r="S8" t="e">
        <f ca="1">Time!G21+"Ug1!;3"</f>
        <v>#VALUE!</v>
      </c>
      <c r="T8" t="e">
        <f ca="1">Time!A22+"Ug1!;4"</f>
        <v>#VALUE!</v>
      </c>
      <c r="U8" t="e">
        <f ca="1">Time!B22+"Ug1!;5"</f>
        <v>#VALUE!</v>
      </c>
      <c r="V8" t="e">
        <f ca="1">Time!C22+"Ug1!;6"</f>
        <v>#VALUE!</v>
      </c>
      <c r="W8" t="e">
        <f ca="1">Time!E22+"Ug1!;7"</f>
        <v>#VALUE!</v>
      </c>
      <c r="X8" t="e">
        <f ca="1">Time!F22+"Ug1!;8"</f>
        <v>#VALUE!</v>
      </c>
      <c r="Y8" t="e">
        <f ca="1">Time!G22+"Ug1!;9"</f>
        <v>#VALUE!</v>
      </c>
      <c r="Z8" t="e">
        <f ca="1">Time!A23+"Ug1!;:"</f>
        <v>#VALUE!</v>
      </c>
      <c r="AA8" t="e">
        <f ca="1">Time!B23+"Ug1!;;"</f>
        <v>#VALUE!</v>
      </c>
      <c r="AB8" t="e">
        <f ca="1">Time!C23+"Ug1!;&lt;"</f>
        <v>#VALUE!</v>
      </c>
      <c r="AC8" t="e">
        <f ca="1">Time!D23+"Ug1!;="</f>
        <v>#VALUE!</v>
      </c>
      <c r="AD8" t="e">
        <f ca="1">Time!E23+"Ug1!;&gt;"</f>
        <v>#VALUE!</v>
      </c>
      <c r="AE8" t="e">
        <f ca="1">Time!F23+"Ug1!;?"</f>
        <v>#VALUE!</v>
      </c>
      <c r="AF8" t="e">
        <f ca="1">Time!G23+"Ug1!;@"</f>
        <v>#VALUE!</v>
      </c>
      <c r="AG8" t="e">
        <f ca="1">Time!H23+"Ug1!;A"</f>
        <v>#VALUE!</v>
      </c>
      <c r="AH8" t="e">
        <f ca="1">Time!I23+"Ug1!;B"</f>
        <v>#VALUE!</v>
      </c>
      <c r="AI8" t="e">
        <f ca="1">Time!J23+"Ug1!;C"</f>
        <v>#VALUE!</v>
      </c>
      <c r="AJ8" t="e">
        <f ca="1">Time!K23+"Ug1!;D"</f>
        <v>#VALUE!</v>
      </c>
      <c r="AK8" t="e">
        <f ca="1">Time!L23+"Ug1!;E"</f>
        <v>#VALUE!</v>
      </c>
      <c r="AL8" t="e">
        <f ca="1">Time!M23+"Ug1!;F"</f>
        <v>#VALUE!</v>
      </c>
      <c r="AM8" t="e">
        <f ca="1">Time!N23+"Ug1!;G"</f>
        <v>#VALUE!</v>
      </c>
      <c r="AN8" t="e">
        <f ca="1">Time!O23+"Ug1!;H"</f>
        <v>#VALUE!</v>
      </c>
      <c r="AO8" t="e">
        <f ca="1">Time!P23+"Ug1!;I"</f>
        <v>#VALUE!</v>
      </c>
      <c r="AP8" t="e">
        <f ca="1">Time!Q23+"Ug1!;J"</f>
        <v>#VALUE!</v>
      </c>
      <c r="AQ8" t="e">
        <f ca="1">Time!R23+"Ug1!;K"</f>
        <v>#VALUE!</v>
      </c>
      <c r="AR8" t="e">
        <f ca="1">Time!S23+"Ug1!;L"</f>
        <v>#VALUE!</v>
      </c>
      <c r="AS8" t="e">
        <f ca="1">Time!T23+"Ug1!;M"</f>
        <v>#VALUE!</v>
      </c>
      <c r="AT8" t="e">
        <f ca="1">Time!U23+"Ug1!;N"</f>
        <v>#VALUE!</v>
      </c>
      <c r="AU8" t="e">
        <f ca="1">Time!V23+"Ug1!;O"</f>
        <v>#VALUE!</v>
      </c>
      <c r="AV8" t="e">
        <f ca="1">Time!W23+"Ug1!;P"</f>
        <v>#VALUE!</v>
      </c>
      <c r="AW8" t="e">
        <f ca="1">Time!X23+"Ug1!;Q"</f>
        <v>#VALUE!</v>
      </c>
      <c r="AX8" t="e">
        <f ca="1">Time!Y23+"Ug1!;R"</f>
        <v>#VALUE!</v>
      </c>
      <c r="AY8" t="e">
        <f ca="1">Time!Z23+"Ug1!;S"</f>
        <v>#VALUE!</v>
      </c>
      <c r="AZ8" t="e">
        <f ca="1">Time!AA23+"Ug1!;T"</f>
        <v>#VALUE!</v>
      </c>
      <c r="BA8" t="e">
        <f ca="1">Time!AB23+"Ug1!;U"</f>
        <v>#VALUE!</v>
      </c>
      <c r="BB8" t="e">
        <f ca="1">Time!AC23+"Ug1!;V"</f>
        <v>#VALUE!</v>
      </c>
      <c r="BC8" t="e">
        <f ca="1">Time!AD23+"Ug1!;W"</f>
        <v>#VALUE!</v>
      </c>
      <c r="BD8" t="e">
        <f ca="1">Time!AE23+"Ug1!;X"</f>
        <v>#VALUE!</v>
      </c>
      <c r="BE8" t="e">
        <f ca="1">Time!AF23+"Ug1!;Y"</f>
        <v>#VALUE!</v>
      </c>
      <c r="BF8" t="e">
        <f ca="1">Time!AG23+"Ug1!;Z"</f>
        <v>#VALUE!</v>
      </c>
      <c r="BG8" t="e">
        <f ca="1">Time!AH23+"Ug1!;["</f>
        <v>#VALUE!</v>
      </c>
      <c r="BH8" t="e">
        <f ca="1">Time!AI23+"Ug1!;\"</f>
        <v>#VALUE!</v>
      </c>
      <c r="BI8" t="e">
        <f ca="1">Time!AJ23+"Ug1!;]"</f>
        <v>#VALUE!</v>
      </c>
      <c r="BJ8" t="e">
        <f ca="1">Time!AK23+"Ug1!;^"</f>
        <v>#VALUE!</v>
      </c>
      <c r="BK8" t="e">
        <f ca="1">Time!AL23+"Ug1!;_"</f>
        <v>#VALUE!</v>
      </c>
      <c r="BL8" t="e">
        <f ca="1">Time!AM23+"Ug1!;`"</f>
        <v>#VALUE!</v>
      </c>
      <c r="BM8" t="e">
        <f ca="1">Time!AN23+"Ug1!;a"</f>
        <v>#VALUE!</v>
      </c>
      <c r="BN8" t="e">
        <f ca="1">Time!AO23+"Ug1!;b"</f>
        <v>#VALUE!</v>
      </c>
      <c r="BO8" t="e">
        <f ca="1">Time!AP23+"Ug1!;c"</f>
        <v>#VALUE!</v>
      </c>
      <c r="BP8" t="e">
        <f ca="1">Time!AQ23+"Ug1!;d"</f>
        <v>#VALUE!</v>
      </c>
      <c r="BQ8" t="e">
        <f ca="1">Time!AR23+"Ug1!;e"</f>
        <v>#VALUE!</v>
      </c>
      <c r="BR8" t="e">
        <f ca="1">Time!AS23+"Ug1!;f"</f>
        <v>#VALUE!</v>
      </c>
      <c r="BS8" t="e">
        <f ca="1">Time!AT23+"Ug1!;g"</f>
        <v>#VALUE!</v>
      </c>
      <c r="BT8" t="e">
        <f ca="1">Time!AU23+"Ug1!;h"</f>
        <v>#VALUE!</v>
      </c>
      <c r="BU8" t="e">
        <f ca="1">Time!AV23+"Ug1!;i"</f>
        <v>#VALUE!</v>
      </c>
      <c r="BV8" t="e">
        <f ca="1">Time!AW23+"Ug1!;j"</f>
        <v>#VALUE!</v>
      </c>
      <c r="BW8" t="e">
        <f ca="1">Time!AX23+"Ug1!;k"</f>
        <v>#VALUE!</v>
      </c>
      <c r="BX8" t="e">
        <f ca="1">Time!AY23+"Ug1!;l"</f>
        <v>#VALUE!</v>
      </c>
      <c r="BY8" t="e">
        <f ca="1">Time!AZ23+"Ug1!;m"</f>
        <v>#VALUE!</v>
      </c>
      <c r="BZ8" t="e">
        <f ca="1">Time!BA23+"Ug1!;n"</f>
        <v>#VALUE!</v>
      </c>
      <c r="CA8" t="e">
        <f ca="1">Time!BB23+"Ug1!;o"</f>
        <v>#VALUE!</v>
      </c>
      <c r="CB8" t="e">
        <f ca="1">Time!BC23+"Ug1!;p"</f>
        <v>#VALUE!</v>
      </c>
      <c r="CC8" t="e">
        <f ca="1">Time!BD23+"Ug1!;q"</f>
        <v>#VALUE!</v>
      </c>
      <c r="CD8" t="e">
        <f ca="1">Time!BE23+"Ug1!;r"</f>
        <v>#VALUE!</v>
      </c>
      <c r="CE8" t="e">
        <f ca="1">Time!BF23+"Ug1!;s"</f>
        <v>#VALUE!</v>
      </c>
      <c r="CF8" t="e">
        <f ca="1">Time!BG23+"Ug1!;t"</f>
        <v>#VALUE!</v>
      </c>
      <c r="CG8" t="e">
        <f ca="1">Time!BH23+"Ug1!;u"</f>
        <v>#VALUE!</v>
      </c>
      <c r="CH8" t="e">
        <f ca="1">Time!BI23+"Ug1!;v"</f>
        <v>#VALUE!</v>
      </c>
      <c r="CI8" t="e">
        <f ca="1">Time!BJ23+"Ug1!;w"</f>
        <v>#VALUE!</v>
      </c>
      <c r="CJ8" t="e">
        <f ca="1">Time!BK23+"Ug1!;x"</f>
        <v>#VALUE!</v>
      </c>
      <c r="CK8" t="e">
        <f ca="1">Time!BL23+"Ug1!;y"</f>
        <v>#VALUE!</v>
      </c>
      <c r="CL8" t="e">
        <f ca="1">Time!BM23+"Ug1!;z"</f>
        <v>#VALUE!</v>
      </c>
      <c r="CM8" t="e">
        <f ca="1">Time!BN23+"Ug1!;{"</f>
        <v>#VALUE!</v>
      </c>
      <c r="CN8" t="e">
        <f ca="1">Time!BO23+"Ug1!;|"</f>
        <v>#VALUE!</v>
      </c>
      <c r="CO8" t="e">
        <f ca="1">Time!BP23+"Ug1!;}"</f>
        <v>#VALUE!</v>
      </c>
      <c r="CP8" t="e">
        <f ca="1">Time!BQ23+"Ug1!;~"</f>
        <v>#VALUE!</v>
      </c>
      <c r="CQ8" t="e">
        <f ca="1">Time!BR23+"Ug1!&lt;#"</f>
        <v>#VALUE!</v>
      </c>
      <c r="CR8" t="e">
        <f ca="1">Time!BS23+"Ug1!&lt;$"</f>
        <v>#VALUE!</v>
      </c>
      <c r="CS8" t="e">
        <f ca="1">Time!BT23+"Ug1!&lt;%"</f>
        <v>#VALUE!</v>
      </c>
      <c r="CT8" t="e">
        <f ca="1">Time!BU23+"Ug1!&lt;&amp;"</f>
        <v>#VALUE!</v>
      </c>
      <c r="CU8" t="e">
        <f ca="1">Time!BV23+"Ug1!&lt;'"</f>
        <v>#VALUE!</v>
      </c>
      <c r="CV8" t="e">
        <f ca="1">Time!BW23+"Ug1!&lt;("</f>
        <v>#VALUE!</v>
      </c>
      <c r="CW8" t="e">
        <f ca="1">Time!BX23+"Ug1!&lt;)"</f>
        <v>#VALUE!</v>
      </c>
      <c r="CX8" t="e">
        <f ca="1">Time!BY23+"Ug1!&lt;."</f>
        <v>#VALUE!</v>
      </c>
      <c r="CY8" t="e">
        <f ca="1">Time!A24+"Ug1!&lt;/"</f>
        <v>#VALUE!</v>
      </c>
      <c r="CZ8" t="e">
        <f ca="1">Time!B24+"Ug1!&lt;0"</f>
        <v>#VALUE!</v>
      </c>
      <c r="DA8" t="e">
        <f ca="1">Time!C24+"Ug1!&lt;1"</f>
        <v>#VALUE!</v>
      </c>
      <c r="DB8" t="e">
        <f ca="1">Time!E24+"Ug1!&lt;2"</f>
        <v>#VALUE!</v>
      </c>
      <c r="DC8" t="e">
        <f ca="1">Time!F24+"Ug1!&lt;3"</f>
        <v>#VALUE!</v>
      </c>
      <c r="DD8" t="e">
        <f ca="1">Time!G24+"Ug1!&lt;4"</f>
        <v>#VALUE!</v>
      </c>
      <c r="DE8" t="e">
        <f ca="1">Time!H24+"Ug1!&lt;5"</f>
        <v>#VALUE!</v>
      </c>
      <c r="DF8" t="e">
        <f ca="1">Time!I24+"Ug1!&lt;6"</f>
        <v>#VALUE!</v>
      </c>
      <c r="DG8" t="e">
        <f ca="1">Time!J24+"Ug1!&lt;7"</f>
        <v>#VALUE!</v>
      </c>
      <c r="DH8" t="e">
        <f ca="1">Time!K24+"Ug1!&lt;8"</f>
        <v>#VALUE!</v>
      </c>
      <c r="DI8" t="e">
        <f ca="1">Time!L24+"Ug1!&lt;9"</f>
        <v>#VALUE!</v>
      </c>
      <c r="DJ8" t="e">
        <f ca="1">Time!M24+"Ug1!&lt;:"</f>
        <v>#VALUE!</v>
      </c>
      <c r="DK8" t="e">
        <f ca="1">Time!N24+"Ug1!&lt;;"</f>
        <v>#VALUE!</v>
      </c>
      <c r="DL8" t="e">
        <f ca="1">Time!O24+"Ug1!&lt;&lt;"</f>
        <v>#VALUE!</v>
      </c>
      <c r="DM8" t="e">
        <f ca="1">Time!P24+"Ug1!&lt;="</f>
        <v>#VALUE!</v>
      </c>
      <c r="DN8" t="e">
        <f ca="1">Time!Q24+"Ug1!&lt;&gt;"</f>
        <v>#VALUE!</v>
      </c>
      <c r="DO8" t="e">
        <f ca="1">Time!R24+"Ug1!&lt;?"</f>
        <v>#VALUE!</v>
      </c>
      <c r="DP8" t="e">
        <f ca="1">Time!S24+"Ug1!&lt;@"</f>
        <v>#VALUE!</v>
      </c>
      <c r="DQ8" t="e">
        <f ca="1">Time!T24+"Ug1!&lt;A"</f>
        <v>#VALUE!</v>
      </c>
      <c r="DR8" t="e">
        <f ca="1">Time!U24+"Ug1!&lt;B"</f>
        <v>#VALUE!</v>
      </c>
      <c r="DS8" t="e">
        <f ca="1">Time!V24+"Ug1!&lt;C"</f>
        <v>#VALUE!</v>
      </c>
      <c r="DT8" t="e">
        <f ca="1">Time!W24+"Ug1!&lt;D"</f>
        <v>#VALUE!</v>
      </c>
      <c r="DU8" t="e">
        <f ca="1">Time!X24+"Ug1!&lt;E"</f>
        <v>#VALUE!</v>
      </c>
      <c r="DV8" t="e">
        <f ca="1">Time!Y24+"Ug1!&lt;F"</f>
        <v>#VALUE!</v>
      </c>
      <c r="DW8" t="e">
        <f ca="1">Time!Z24+"Ug1!&lt;G"</f>
        <v>#VALUE!</v>
      </c>
      <c r="DX8" t="e">
        <f ca="1">Time!AA24+"Ug1!&lt;H"</f>
        <v>#VALUE!</v>
      </c>
      <c r="DY8" t="e">
        <f ca="1">Time!AB24+"Ug1!&lt;I"</f>
        <v>#VALUE!</v>
      </c>
      <c r="DZ8" t="e">
        <f ca="1">Time!AC24+"Ug1!&lt;J"</f>
        <v>#VALUE!</v>
      </c>
      <c r="EA8" t="e">
        <f ca="1">Time!AD24+"Ug1!&lt;K"</f>
        <v>#VALUE!</v>
      </c>
      <c r="EB8" t="e">
        <f ca="1">Time!AE24+"Ug1!&lt;L"</f>
        <v>#VALUE!</v>
      </c>
      <c r="EC8" t="e">
        <f ca="1">Time!AF24+"Ug1!&lt;M"</f>
        <v>#VALUE!</v>
      </c>
      <c r="ED8" t="e">
        <f ca="1">Time!AG24+"Ug1!&lt;N"</f>
        <v>#VALUE!</v>
      </c>
      <c r="EE8" t="e">
        <f ca="1">Time!AH24+"Ug1!&lt;O"</f>
        <v>#VALUE!</v>
      </c>
      <c r="EF8" t="e">
        <f ca="1">Time!AI24+"Ug1!&lt;P"</f>
        <v>#VALUE!</v>
      </c>
      <c r="EG8" t="e">
        <f ca="1">Time!AJ24+"Ug1!&lt;Q"</f>
        <v>#VALUE!</v>
      </c>
      <c r="EH8" t="e">
        <f ca="1">Time!AK24+"Ug1!&lt;R"</f>
        <v>#VALUE!</v>
      </c>
      <c r="EI8" t="e">
        <f ca="1">Time!AL24+"Ug1!&lt;S"</f>
        <v>#VALUE!</v>
      </c>
      <c r="EJ8" t="e">
        <f ca="1">Time!AM24+"Ug1!&lt;T"</f>
        <v>#VALUE!</v>
      </c>
      <c r="EK8" t="e">
        <f ca="1">Time!AN24+"Ug1!&lt;U"</f>
        <v>#VALUE!</v>
      </c>
      <c r="EL8" t="e">
        <f ca="1">Time!AO24+"Ug1!&lt;V"</f>
        <v>#VALUE!</v>
      </c>
      <c r="EM8" t="e">
        <f ca="1">Time!AP24+"Ug1!&lt;W"</f>
        <v>#VALUE!</v>
      </c>
      <c r="EN8" t="e">
        <f ca="1">Time!AQ24+"Ug1!&lt;X"</f>
        <v>#VALUE!</v>
      </c>
      <c r="EO8" t="e">
        <f ca="1">Time!AR24+"Ug1!&lt;Y"</f>
        <v>#VALUE!</v>
      </c>
      <c r="EP8" t="e">
        <f ca="1">Time!AS24+"Ug1!&lt;Z"</f>
        <v>#VALUE!</v>
      </c>
      <c r="EQ8" t="e">
        <f ca="1">Time!AT24+"Ug1!&lt;["</f>
        <v>#VALUE!</v>
      </c>
      <c r="ER8" t="e">
        <f ca="1">Time!AU24+"Ug1!&lt;\"</f>
        <v>#VALUE!</v>
      </c>
      <c r="ES8" t="e">
        <f ca="1">Time!AV24+"Ug1!&lt;]"</f>
        <v>#VALUE!</v>
      </c>
      <c r="ET8" t="e">
        <f ca="1">Time!AW24+"Ug1!&lt;^"</f>
        <v>#VALUE!</v>
      </c>
      <c r="EU8" t="e">
        <f ca="1">Time!AX24+"Ug1!&lt;_"</f>
        <v>#VALUE!</v>
      </c>
      <c r="EV8" t="e">
        <f ca="1">Time!AY24+"Ug1!&lt;`"</f>
        <v>#VALUE!</v>
      </c>
      <c r="EW8" t="e">
        <f ca="1">Time!AZ24+"Ug1!&lt;a"</f>
        <v>#VALUE!</v>
      </c>
      <c r="EX8" t="e">
        <f ca="1">Time!BA24+"Ug1!&lt;b"</f>
        <v>#VALUE!</v>
      </c>
      <c r="EY8" t="e">
        <f ca="1">Time!BB24+"Ug1!&lt;c"</f>
        <v>#VALUE!</v>
      </c>
      <c r="EZ8" t="e">
        <f ca="1">Time!BC24+"Ug1!&lt;d"</f>
        <v>#VALUE!</v>
      </c>
      <c r="FA8" t="e">
        <f ca="1">Time!BD24+"Ug1!&lt;e"</f>
        <v>#VALUE!</v>
      </c>
      <c r="FB8" t="e">
        <f ca="1">Time!BE24+"Ug1!&lt;f"</f>
        <v>#VALUE!</v>
      </c>
      <c r="FC8" t="e">
        <f ca="1">Time!BF24+"Ug1!&lt;g"</f>
        <v>#VALUE!</v>
      </c>
      <c r="FD8" t="e">
        <f ca="1">Time!BG24+"Ug1!&lt;h"</f>
        <v>#VALUE!</v>
      </c>
      <c r="FE8" t="e">
        <f ca="1">Time!BH24+"Ug1!&lt;i"</f>
        <v>#VALUE!</v>
      </c>
      <c r="FF8" t="e">
        <f ca="1">Time!BI24+"Ug1!&lt;j"</f>
        <v>#VALUE!</v>
      </c>
      <c r="FG8" t="e">
        <f ca="1">Time!BJ24+"Ug1!&lt;k"</f>
        <v>#VALUE!</v>
      </c>
      <c r="FH8" t="e">
        <f ca="1">Time!BK24+"Ug1!&lt;l"</f>
        <v>#VALUE!</v>
      </c>
      <c r="FI8" t="e">
        <f ca="1">Time!BL24+"Ug1!&lt;m"</f>
        <v>#VALUE!</v>
      </c>
      <c r="FJ8" t="e">
        <f ca="1">Time!BM24+"Ug1!&lt;n"</f>
        <v>#VALUE!</v>
      </c>
      <c r="FK8" t="e">
        <f ca="1">Time!BN24+"Ug1!&lt;o"</f>
        <v>#VALUE!</v>
      </c>
      <c r="FL8" t="e">
        <f ca="1">Time!BO24+"Ug1!&lt;p"</f>
        <v>#VALUE!</v>
      </c>
      <c r="FM8" t="e">
        <f ca="1">Time!BP24+"Ug1!&lt;q"</f>
        <v>#VALUE!</v>
      </c>
      <c r="FN8" t="e">
        <f ca="1">Time!BQ24+"Ug1!&lt;r"</f>
        <v>#VALUE!</v>
      </c>
      <c r="FO8" t="e">
        <f ca="1">Time!BR24+"Ug1!&lt;s"</f>
        <v>#VALUE!</v>
      </c>
      <c r="FP8" t="e">
        <f ca="1">Time!BS24+"Ug1!&lt;t"</f>
        <v>#VALUE!</v>
      </c>
      <c r="FQ8" t="e">
        <f ca="1">Time!BT24+"Ug1!&lt;u"</f>
        <v>#VALUE!</v>
      </c>
      <c r="FR8" t="e">
        <f ca="1">Time!BU24+"Ug1!&lt;v"</f>
        <v>#VALUE!</v>
      </c>
      <c r="FS8" t="e">
        <f ca="1">Time!BV24+"Ug1!&lt;w"</f>
        <v>#VALUE!</v>
      </c>
      <c r="FT8" t="e">
        <f ca="1">Time!BW24+"Ug1!&lt;x"</f>
        <v>#VALUE!</v>
      </c>
      <c r="FU8" t="e">
        <f ca="1">Time!BX24+"Ug1!&lt;y"</f>
        <v>#VALUE!</v>
      </c>
      <c r="FV8" t="e">
        <f ca="1">Time!BY24+"Ug1!&lt;z"</f>
        <v>#VALUE!</v>
      </c>
      <c r="FW8" t="e">
        <f ca="1">Time!A25+"Ug1!&lt;{"</f>
        <v>#VALUE!</v>
      </c>
      <c r="FX8" t="e">
        <f ca="1">Time!B25+"Ug1!&lt;|"</f>
        <v>#VALUE!</v>
      </c>
      <c r="FY8" t="e">
        <f ca="1">Time!C25+"Ug1!&lt;}"</f>
        <v>#VALUE!</v>
      </c>
      <c r="FZ8" t="e">
        <f ca="1">Time!E25+"Ug1!&lt;~"</f>
        <v>#VALUE!</v>
      </c>
      <c r="GA8" t="e">
        <f ca="1">Time!G25+"Ug1!=#"</f>
        <v>#VALUE!</v>
      </c>
      <c r="GB8" t="e">
        <f ca="1">Time!I25+"Ug1!=$"</f>
        <v>#VALUE!</v>
      </c>
      <c r="GC8" t="e">
        <f ca="1">Time!J25+"Ug1!=%"</f>
        <v>#VALUE!</v>
      </c>
      <c r="GD8" t="e">
        <f ca="1">Time!K25+"Ug1!=&amp;"</f>
        <v>#VALUE!</v>
      </c>
      <c r="GE8" t="e">
        <f ca="1">Time!L25+"Ug1!='"</f>
        <v>#VALUE!</v>
      </c>
      <c r="GF8" t="e">
        <f ca="1">Time!M25+"Ug1!=("</f>
        <v>#VALUE!</v>
      </c>
      <c r="GG8" t="e">
        <f ca="1">Time!N25+"Ug1!=)"</f>
        <v>#VALUE!</v>
      </c>
      <c r="GH8" t="e">
        <f ca="1">Time!O25+"Ug1!=."</f>
        <v>#VALUE!</v>
      </c>
      <c r="GI8" t="e">
        <f ca="1">Time!P25+"Ug1!=/"</f>
        <v>#VALUE!</v>
      </c>
      <c r="GJ8" t="e">
        <f ca="1">Time!Q25+"Ug1!=0"</f>
        <v>#VALUE!</v>
      </c>
      <c r="GK8" t="e">
        <f ca="1">Time!R25+"Ug1!=1"</f>
        <v>#VALUE!</v>
      </c>
      <c r="GL8" t="e">
        <f ca="1">Time!S25+"Ug1!=2"</f>
        <v>#VALUE!</v>
      </c>
      <c r="GM8" t="e">
        <f ca="1">Time!T25+"Ug1!=3"</f>
        <v>#VALUE!</v>
      </c>
      <c r="GN8" t="e">
        <f ca="1">Time!U25+"Ug1!=4"</f>
        <v>#VALUE!</v>
      </c>
      <c r="GO8" t="e">
        <f ca="1">Time!V25+"Ug1!=5"</f>
        <v>#VALUE!</v>
      </c>
      <c r="GP8" t="e">
        <f ca="1">Time!W25+"Ug1!=6"</f>
        <v>#VALUE!</v>
      </c>
      <c r="GQ8" t="e">
        <f ca="1">Time!X25+"Ug1!=7"</f>
        <v>#VALUE!</v>
      </c>
      <c r="GR8" t="e">
        <f ca="1">Time!Y25+"Ug1!=8"</f>
        <v>#VALUE!</v>
      </c>
      <c r="GS8" t="e">
        <f ca="1">Time!Z25+"Ug1!=9"</f>
        <v>#VALUE!</v>
      </c>
      <c r="GT8" t="e">
        <f ca="1">Time!AA25+"Ug1!=:"</f>
        <v>#VALUE!</v>
      </c>
      <c r="GU8" t="e">
        <f ca="1">Time!AB25+"Ug1!=;"</f>
        <v>#VALUE!</v>
      </c>
      <c r="GV8" t="e">
        <f ca="1">Time!AC25+"Ug1!=&lt;"</f>
        <v>#VALUE!</v>
      </c>
      <c r="GW8" t="e">
        <f ca="1">Time!AD25+"Ug1!=="</f>
        <v>#VALUE!</v>
      </c>
      <c r="GX8" t="e">
        <f ca="1">Time!AE25+"Ug1!=&gt;"</f>
        <v>#VALUE!</v>
      </c>
      <c r="GY8" t="e">
        <f ca="1">Time!AF25+"Ug1!=?"</f>
        <v>#VALUE!</v>
      </c>
      <c r="GZ8" t="e">
        <f ca="1">Time!AG25+"Ug1!=@"</f>
        <v>#VALUE!</v>
      </c>
      <c r="HA8" t="e">
        <f ca="1">Time!AH25+"Ug1!=A"</f>
        <v>#VALUE!</v>
      </c>
      <c r="HB8" t="e">
        <f ca="1">Time!AI25+"Ug1!=B"</f>
        <v>#VALUE!</v>
      </c>
      <c r="HC8" t="e">
        <f ca="1">Time!AJ25+"Ug1!=C"</f>
        <v>#VALUE!</v>
      </c>
      <c r="HD8" t="e">
        <f ca="1">Time!AK25+"Ug1!=D"</f>
        <v>#VALUE!</v>
      </c>
      <c r="HE8" t="e">
        <f ca="1">Time!AL25+"Ug1!=E"</f>
        <v>#VALUE!</v>
      </c>
      <c r="HF8" t="e">
        <f ca="1">Time!AM25+"Ug1!=F"</f>
        <v>#VALUE!</v>
      </c>
      <c r="HG8" t="e">
        <f ca="1">Time!AN25+"Ug1!=G"</f>
        <v>#VALUE!</v>
      </c>
      <c r="HH8" t="e">
        <f ca="1">Time!AO25+"Ug1!=H"</f>
        <v>#VALUE!</v>
      </c>
      <c r="HI8" t="e">
        <f ca="1">Time!AP25+"Ug1!=I"</f>
        <v>#VALUE!</v>
      </c>
      <c r="HJ8" t="e">
        <f ca="1">Time!AQ25+"Ug1!=J"</f>
        <v>#VALUE!</v>
      </c>
      <c r="HK8" t="e">
        <f ca="1">Time!AR25+"Ug1!=K"</f>
        <v>#VALUE!</v>
      </c>
      <c r="HL8" t="e">
        <f ca="1">Time!AS25+"Ug1!=L"</f>
        <v>#VALUE!</v>
      </c>
      <c r="HM8" t="e">
        <f ca="1">Time!AT25+"Ug1!=M"</f>
        <v>#VALUE!</v>
      </c>
      <c r="HN8" t="e">
        <f ca="1">Time!AU25+"Ug1!=N"</f>
        <v>#VALUE!</v>
      </c>
      <c r="HO8" t="e">
        <f ca="1">Time!AV25+"Ug1!=O"</f>
        <v>#VALUE!</v>
      </c>
      <c r="HP8" t="e">
        <f ca="1">Time!AW25+"Ug1!=P"</f>
        <v>#VALUE!</v>
      </c>
      <c r="HQ8" t="e">
        <f ca="1">Time!AX25+"Ug1!=Q"</f>
        <v>#VALUE!</v>
      </c>
      <c r="HR8" t="e">
        <f ca="1">Time!AY25+"Ug1!=R"</f>
        <v>#VALUE!</v>
      </c>
      <c r="HS8" t="e">
        <f ca="1">Time!AZ25+"Ug1!=S"</f>
        <v>#VALUE!</v>
      </c>
      <c r="HT8" t="e">
        <f ca="1">Time!BA25+"Ug1!=T"</f>
        <v>#VALUE!</v>
      </c>
      <c r="HU8" t="e">
        <f ca="1">Time!BB25+"Ug1!=U"</f>
        <v>#VALUE!</v>
      </c>
      <c r="HV8" t="e">
        <f ca="1">Time!BC25+"Ug1!=V"</f>
        <v>#VALUE!</v>
      </c>
      <c r="HW8" t="e">
        <f ca="1">Time!BD25+"Ug1!=W"</f>
        <v>#VALUE!</v>
      </c>
      <c r="HX8" t="e">
        <f ca="1">Time!BE25+"Ug1!=X"</f>
        <v>#VALUE!</v>
      </c>
      <c r="HY8" t="e">
        <f ca="1">Time!BF25+"Ug1!=Y"</f>
        <v>#VALUE!</v>
      </c>
      <c r="HZ8" t="e">
        <f ca="1">Time!BG25+"Ug1!=Z"</f>
        <v>#VALUE!</v>
      </c>
      <c r="IA8" t="e">
        <f ca="1">Time!BH25+"Ug1!=["</f>
        <v>#VALUE!</v>
      </c>
      <c r="IB8" t="e">
        <f ca="1">Time!BI25+"Ug1!=\"</f>
        <v>#VALUE!</v>
      </c>
      <c r="IC8" t="e">
        <f ca="1">Time!BJ25+"Ug1!=]"</f>
        <v>#VALUE!</v>
      </c>
      <c r="ID8" t="e">
        <f ca="1">Time!BK25+"Ug1!=^"</f>
        <v>#VALUE!</v>
      </c>
      <c r="IE8" t="e">
        <f ca="1">Time!BL25+"Ug1!=_"</f>
        <v>#VALUE!</v>
      </c>
      <c r="IF8" t="e">
        <f ca="1">Time!BM25+"Ug1!=`"</f>
        <v>#VALUE!</v>
      </c>
      <c r="IG8" t="e">
        <f ca="1">Time!BN25+"Ug1!=a"</f>
        <v>#VALUE!</v>
      </c>
      <c r="IH8" t="e">
        <f ca="1">Time!BO25+"Ug1!=b"</f>
        <v>#VALUE!</v>
      </c>
      <c r="II8" t="e">
        <f ca="1">Time!BP25+"Ug1!=c"</f>
        <v>#VALUE!</v>
      </c>
      <c r="IJ8" t="e">
        <f ca="1">Time!BQ25+"Ug1!=d"</f>
        <v>#VALUE!</v>
      </c>
      <c r="IK8" t="e">
        <f ca="1">Time!BR25+"Ug1!=e"</f>
        <v>#VALUE!</v>
      </c>
      <c r="IL8" t="e">
        <f ca="1">Time!BS25+"Ug1!=f"</f>
        <v>#VALUE!</v>
      </c>
      <c r="IM8" t="e">
        <f ca="1">Time!BT25+"Ug1!=g"</f>
        <v>#VALUE!</v>
      </c>
      <c r="IN8" t="e">
        <f ca="1">Time!BU25+"Ug1!=h"</f>
        <v>#VALUE!</v>
      </c>
      <c r="IO8" t="e">
        <f ca="1">Time!BV25+"Ug1!=i"</f>
        <v>#VALUE!</v>
      </c>
      <c r="IP8" t="e">
        <f ca="1">Time!BW25+"Ug1!=j"</f>
        <v>#VALUE!</v>
      </c>
      <c r="IQ8" t="e">
        <f ca="1">Time!BX25+"Ug1!=k"</f>
        <v>#VALUE!</v>
      </c>
      <c r="IR8" t="e">
        <f ca="1">Time!BY25+"Ug1!=l"</f>
        <v>#VALUE!</v>
      </c>
      <c r="IS8" t="e">
        <f ca="1">Time!A26+"Ug1!=m"</f>
        <v>#VALUE!</v>
      </c>
      <c r="IT8" t="e">
        <f ca="1">Time!B26+"Ug1!=n"</f>
        <v>#VALUE!</v>
      </c>
      <c r="IU8" t="e">
        <f ca="1">Time!C26+"Ug1!=o"</f>
        <v>#VALUE!</v>
      </c>
      <c r="IV8" t="e">
        <f ca="1">Time!I26+"Ug1!=p"</f>
        <v>#VALUE!</v>
      </c>
    </row>
    <row r="9" spans="1:256" x14ac:dyDescent="0.2">
      <c r="F9" t="e">
        <f ca="1">Time!J26+"Ug1!=q"</f>
        <v>#VALUE!</v>
      </c>
      <c r="G9" t="e">
        <f ca="1">Time!K26+"Ug1!=r"</f>
        <v>#VALUE!</v>
      </c>
      <c r="H9" t="e">
        <f ca="1">Time!L26+"Ug1!=s"</f>
        <v>#VALUE!</v>
      </c>
      <c r="I9" t="e">
        <f ca="1">Time!M26+"Ug1!=t"</f>
        <v>#VALUE!</v>
      </c>
      <c r="J9" t="e">
        <f ca="1">Time!N26+"Ug1!=u"</f>
        <v>#VALUE!</v>
      </c>
      <c r="K9" t="e">
        <f ca="1">Time!O26+"Ug1!=v"</f>
        <v>#VALUE!</v>
      </c>
      <c r="L9" t="e">
        <f ca="1">Time!P26+"Ug1!=w"</f>
        <v>#VALUE!</v>
      </c>
      <c r="M9" t="e">
        <f ca="1">Time!Q26+"Ug1!=x"</f>
        <v>#VALUE!</v>
      </c>
      <c r="N9" t="e">
        <f ca="1">Time!R26+"Ug1!=y"</f>
        <v>#VALUE!</v>
      </c>
      <c r="O9" t="e">
        <f ca="1">Time!S26+"Ug1!=z"</f>
        <v>#VALUE!</v>
      </c>
      <c r="P9" t="e">
        <f ca="1">Time!T26+"Ug1!={"</f>
        <v>#VALUE!</v>
      </c>
      <c r="Q9" t="e">
        <f ca="1">Time!U26+"Ug1!=|"</f>
        <v>#VALUE!</v>
      </c>
      <c r="R9" t="e">
        <f ca="1">Time!V26+"Ug1!=}"</f>
        <v>#VALUE!</v>
      </c>
      <c r="S9" t="e">
        <f ca="1">Time!W26+"Ug1!=~"</f>
        <v>#VALUE!</v>
      </c>
      <c r="T9" t="e">
        <f ca="1">Time!X26+"Ug1!&gt;#"</f>
        <v>#VALUE!</v>
      </c>
      <c r="U9" t="e">
        <f ca="1">Time!Y26+"Ug1!&gt;$"</f>
        <v>#VALUE!</v>
      </c>
      <c r="V9" t="e">
        <f ca="1">Time!Z26+"Ug1!&gt;%"</f>
        <v>#VALUE!</v>
      </c>
      <c r="W9" t="e">
        <f ca="1">Time!AA26+"Ug1!&gt;&amp;"</f>
        <v>#VALUE!</v>
      </c>
      <c r="X9" t="e">
        <f ca="1">Time!AB26+"Ug1!&gt;'"</f>
        <v>#VALUE!</v>
      </c>
      <c r="Y9" t="e">
        <f ca="1">Time!AC26+"Ug1!&gt;("</f>
        <v>#VALUE!</v>
      </c>
      <c r="Z9" t="e">
        <f ca="1">Time!AD26+"Ug1!&gt;)"</f>
        <v>#VALUE!</v>
      </c>
      <c r="AA9" t="e">
        <f ca="1">Time!AE26+"Ug1!&gt;."</f>
        <v>#VALUE!</v>
      </c>
      <c r="AB9" t="e">
        <f ca="1">Time!AF26+"Ug1!&gt;/"</f>
        <v>#VALUE!</v>
      </c>
      <c r="AC9" t="e">
        <f ca="1">Time!AG26+"Ug1!&gt;0"</f>
        <v>#VALUE!</v>
      </c>
      <c r="AD9" t="e">
        <f ca="1">Time!AH26+"Ug1!&gt;1"</f>
        <v>#VALUE!</v>
      </c>
      <c r="AE9" t="e">
        <f ca="1">Time!AI26+"Ug1!&gt;2"</f>
        <v>#VALUE!</v>
      </c>
      <c r="AF9" t="e">
        <f ca="1">Time!AJ26+"Ug1!&gt;3"</f>
        <v>#VALUE!</v>
      </c>
      <c r="AG9" t="e">
        <f ca="1">Time!AK26+"Ug1!&gt;4"</f>
        <v>#VALUE!</v>
      </c>
      <c r="AH9" t="e">
        <f ca="1">Time!AL26+"Ug1!&gt;5"</f>
        <v>#VALUE!</v>
      </c>
      <c r="AI9" t="e">
        <f ca="1">Time!AM26+"Ug1!&gt;6"</f>
        <v>#VALUE!</v>
      </c>
      <c r="AJ9" t="e">
        <f ca="1">Time!AN26+"Ug1!&gt;7"</f>
        <v>#VALUE!</v>
      </c>
      <c r="AK9" t="e">
        <f ca="1">Time!AO26+"Ug1!&gt;8"</f>
        <v>#VALUE!</v>
      </c>
      <c r="AL9" t="e">
        <f ca="1">Time!AP26+"Ug1!&gt;9"</f>
        <v>#VALUE!</v>
      </c>
      <c r="AM9" t="e">
        <f ca="1">Time!AQ26+"Ug1!&gt;:"</f>
        <v>#VALUE!</v>
      </c>
      <c r="AN9" t="e">
        <f ca="1">Time!AR26+"Ug1!&gt;;"</f>
        <v>#VALUE!</v>
      </c>
      <c r="AO9" t="e">
        <f ca="1">Time!AS26+"Ug1!&gt;&lt;"</f>
        <v>#VALUE!</v>
      </c>
      <c r="AP9" t="e">
        <f ca="1">Time!AT26+"Ug1!&gt;="</f>
        <v>#VALUE!</v>
      </c>
      <c r="AQ9" t="e">
        <f ca="1">Time!AU26+"Ug1!&gt;&gt;"</f>
        <v>#VALUE!</v>
      </c>
      <c r="AR9" t="e">
        <f ca="1">Time!AV26+"Ug1!&gt;?"</f>
        <v>#VALUE!</v>
      </c>
      <c r="AS9" t="e">
        <f ca="1">Time!AW26+"Ug1!&gt;@"</f>
        <v>#VALUE!</v>
      </c>
      <c r="AT9" t="e">
        <f ca="1">Time!AX26+"Ug1!&gt;A"</f>
        <v>#VALUE!</v>
      </c>
      <c r="AU9" t="e">
        <f ca="1">Time!AY26+"Ug1!&gt;B"</f>
        <v>#VALUE!</v>
      </c>
      <c r="AV9" t="e">
        <f ca="1">Time!AZ26+"Ug1!&gt;C"</f>
        <v>#VALUE!</v>
      </c>
      <c r="AW9" t="e">
        <f ca="1">Time!BA26+"Ug1!&gt;D"</f>
        <v>#VALUE!</v>
      </c>
      <c r="AX9" t="e">
        <f ca="1">Time!BB26+"Ug1!&gt;E"</f>
        <v>#VALUE!</v>
      </c>
      <c r="AY9" t="e">
        <f ca="1">Time!BC26+"Ug1!&gt;F"</f>
        <v>#VALUE!</v>
      </c>
      <c r="AZ9" t="e">
        <f ca="1">Time!BD26+"Ug1!&gt;G"</f>
        <v>#VALUE!</v>
      </c>
      <c r="BA9" t="e">
        <f ca="1">Time!BE26+"Ug1!&gt;H"</f>
        <v>#VALUE!</v>
      </c>
      <c r="BB9" t="e">
        <f ca="1">Time!BF26+"Ug1!&gt;I"</f>
        <v>#VALUE!</v>
      </c>
      <c r="BC9" t="e">
        <f ca="1">Time!BG26+"Ug1!&gt;J"</f>
        <v>#VALUE!</v>
      </c>
      <c r="BD9" t="e">
        <f ca="1">Time!BH26+"Ug1!&gt;K"</f>
        <v>#VALUE!</v>
      </c>
      <c r="BE9" t="e">
        <f ca="1">Time!BI26+"Ug1!&gt;L"</f>
        <v>#VALUE!</v>
      </c>
      <c r="BF9" t="e">
        <f ca="1">Time!BJ26+"Ug1!&gt;M"</f>
        <v>#VALUE!</v>
      </c>
      <c r="BG9" t="e">
        <f ca="1">Time!BK26+"Ug1!&gt;N"</f>
        <v>#VALUE!</v>
      </c>
      <c r="BH9" t="e">
        <f ca="1">Time!BL26+"Ug1!&gt;O"</f>
        <v>#VALUE!</v>
      </c>
      <c r="BI9" t="e">
        <f ca="1">Time!BM26+"Ug1!&gt;P"</f>
        <v>#VALUE!</v>
      </c>
      <c r="BJ9" t="e">
        <f ca="1">Time!BN26+"Ug1!&gt;Q"</f>
        <v>#VALUE!</v>
      </c>
      <c r="BK9" t="e">
        <f ca="1">Time!BO26+"Ug1!&gt;R"</f>
        <v>#VALUE!</v>
      </c>
      <c r="BL9" t="e">
        <f ca="1">Time!BP26+"Ug1!&gt;S"</f>
        <v>#VALUE!</v>
      </c>
      <c r="BM9" t="e">
        <f ca="1">Time!BQ26+"Ug1!&gt;T"</f>
        <v>#VALUE!</v>
      </c>
      <c r="BN9" t="e">
        <f ca="1">Time!BR26+"Ug1!&gt;U"</f>
        <v>#VALUE!</v>
      </c>
      <c r="BO9" t="e">
        <f ca="1">Time!BS26+"Ug1!&gt;V"</f>
        <v>#VALUE!</v>
      </c>
      <c r="BP9" t="e">
        <f ca="1">Time!BT26+"Ug1!&gt;W"</f>
        <v>#VALUE!</v>
      </c>
      <c r="BQ9" t="e">
        <f ca="1">Time!BU26+"Ug1!&gt;X"</f>
        <v>#VALUE!</v>
      </c>
      <c r="BR9" t="e">
        <f ca="1">Time!BV26+"Ug1!&gt;Y"</f>
        <v>#VALUE!</v>
      </c>
      <c r="BS9" t="e">
        <f ca="1">Time!BW26+"Ug1!&gt;Z"</f>
        <v>#VALUE!</v>
      </c>
      <c r="BT9" t="e">
        <f ca="1">Time!BX26+"Ug1!&gt;["</f>
        <v>#VALUE!</v>
      </c>
      <c r="BU9" t="e">
        <f ca="1">Time!BY26+"Ug1!&gt;\"</f>
        <v>#VALUE!</v>
      </c>
      <c r="BV9" t="e">
        <f ca="1">Time!A27+"Ug1!&gt;]"</f>
        <v>#VALUE!</v>
      </c>
      <c r="BW9" t="e">
        <f ca="1">Time!B27+"Ug1!&gt;^"</f>
        <v>#VALUE!</v>
      </c>
      <c r="BX9" t="e">
        <f ca="1">Time!C27+"Ug1!&gt;_"</f>
        <v>#VALUE!</v>
      </c>
      <c r="BY9" t="e">
        <f ca="1">Time!I27+"Ug1!&gt;`"</f>
        <v>#VALUE!</v>
      </c>
      <c r="BZ9" t="e">
        <f ca="1">Time!J27+"Ug1!&gt;a"</f>
        <v>#VALUE!</v>
      </c>
      <c r="CA9" t="e">
        <f ca="1">Time!K27+"Ug1!&gt;b"</f>
        <v>#VALUE!</v>
      </c>
      <c r="CB9" t="e">
        <f ca="1">Time!L27+"Ug1!&gt;c"</f>
        <v>#VALUE!</v>
      </c>
      <c r="CC9" t="e">
        <f ca="1">Time!M27+"Ug1!&gt;d"</f>
        <v>#VALUE!</v>
      </c>
      <c r="CD9" t="e">
        <f ca="1">Time!N27+"Ug1!&gt;e"</f>
        <v>#VALUE!</v>
      </c>
      <c r="CE9" t="e">
        <f ca="1">Time!O27+"Ug1!&gt;f"</f>
        <v>#VALUE!</v>
      </c>
      <c r="CF9" t="e">
        <f ca="1">Time!P27+"Ug1!&gt;g"</f>
        <v>#VALUE!</v>
      </c>
      <c r="CG9" t="e">
        <f ca="1">Time!Q27+"Ug1!&gt;h"</f>
        <v>#VALUE!</v>
      </c>
      <c r="CH9" t="e">
        <f ca="1">Time!R27+"Ug1!&gt;i"</f>
        <v>#VALUE!</v>
      </c>
      <c r="CI9" t="e">
        <f ca="1">Time!S27+"Ug1!&gt;j"</f>
        <v>#VALUE!</v>
      </c>
      <c r="CJ9" t="e">
        <f ca="1">Time!T27+"Ug1!&gt;k"</f>
        <v>#VALUE!</v>
      </c>
      <c r="CK9" t="e">
        <f ca="1">Time!U27+"Ug1!&gt;l"</f>
        <v>#VALUE!</v>
      </c>
      <c r="CL9" t="e">
        <f ca="1">Time!V27+"Ug1!&gt;m"</f>
        <v>#VALUE!</v>
      </c>
      <c r="CM9" t="e">
        <f ca="1">Time!W27+"Ug1!&gt;n"</f>
        <v>#VALUE!</v>
      </c>
      <c r="CN9" t="e">
        <f ca="1">Time!X27+"Ug1!&gt;o"</f>
        <v>#VALUE!</v>
      </c>
      <c r="CO9" t="e">
        <f ca="1">Time!Y27+"Ug1!&gt;p"</f>
        <v>#VALUE!</v>
      </c>
      <c r="CP9" t="e">
        <f ca="1">Time!Z27+"Ug1!&gt;q"</f>
        <v>#VALUE!</v>
      </c>
      <c r="CQ9" t="e">
        <f ca="1">Time!AA27+"Ug1!&gt;r"</f>
        <v>#VALUE!</v>
      </c>
      <c r="CR9" t="e">
        <f ca="1">Time!AB27+"Ug1!&gt;s"</f>
        <v>#VALUE!</v>
      </c>
      <c r="CS9" t="e">
        <f ca="1">Time!AC27+"Ug1!&gt;t"</f>
        <v>#VALUE!</v>
      </c>
      <c r="CT9" t="e">
        <f ca="1">Time!AD27+"Ug1!&gt;u"</f>
        <v>#VALUE!</v>
      </c>
      <c r="CU9" t="e">
        <f ca="1">Time!AE27+"Ug1!&gt;v"</f>
        <v>#VALUE!</v>
      </c>
      <c r="CV9" t="e">
        <f ca="1">Time!AF27+"Ug1!&gt;w"</f>
        <v>#VALUE!</v>
      </c>
      <c r="CW9" t="e">
        <f ca="1">Time!AG27+"Ug1!&gt;x"</f>
        <v>#VALUE!</v>
      </c>
      <c r="CX9" t="e">
        <f ca="1">Time!AH27+"Ug1!&gt;y"</f>
        <v>#VALUE!</v>
      </c>
      <c r="CY9" t="e">
        <f ca="1">Time!AI27+"Ug1!&gt;z"</f>
        <v>#VALUE!</v>
      </c>
      <c r="CZ9" t="e">
        <f ca="1">Time!AJ27+"Ug1!&gt;{"</f>
        <v>#VALUE!</v>
      </c>
      <c r="DA9" t="e">
        <f ca="1">Time!AK27+"Ug1!&gt;|"</f>
        <v>#VALUE!</v>
      </c>
      <c r="DB9" t="e">
        <f ca="1">Time!AL27+"Ug1!&gt;}"</f>
        <v>#VALUE!</v>
      </c>
      <c r="DC9" t="e">
        <f ca="1">Time!AM27+"Ug1!&gt;~"</f>
        <v>#VALUE!</v>
      </c>
      <c r="DD9" t="e">
        <f ca="1">Time!AN27+"Ug1!?#"</f>
        <v>#VALUE!</v>
      </c>
      <c r="DE9" t="e">
        <f ca="1">Time!AO27+"Ug1!?$"</f>
        <v>#VALUE!</v>
      </c>
      <c r="DF9" t="e">
        <f ca="1">Time!AP27+"Ug1!?%"</f>
        <v>#VALUE!</v>
      </c>
      <c r="DG9" t="e">
        <f ca="1">Time!AQ27+"Ug1!?&amp;"</f>
        <v>#VALUE!</v>
      </c>
      <c r="DH9" t="e">
        <f ca="1">Time!AR27+"Ug1!?'"</f>
        <v>#VALUE!</v>
      </c>
      <c r="DI9" t="e">
        <f ca="1">Time!AS27+"Ug1!?("</f>
        <v>#VALUE!</v>
      </c>
      <c r="DJ9" t="e">
        <f ca="1">Time!AT27+"Ug1!?)"</f>
        <v>#VALUE!</v>
      </c>
      <c r="DK9" t="e">
        <f ca="1">Time!AU27+"Ug1!?."</f>
        <v>#VALUE!</v>
      </c>
      <c r="DL9" t="e">
        <f ca="1">Time!AV27+"Ug1!?/"</f>
        <v>#VALUE!</v>
      </c>
      <c r="DM9" t="e">
        <f ca="1">Time!AW27+"Ug1!?0"</f>
        <v>#VALUE!</v>
      </c>
      <c r="DN9" t="e">
        <f ca="1">Time!AX27+"Ug1!?1"</f>
        <v>#VALUE!</v>
      </c>
      <c r="DO9" t="e">
        <f ca="1">Time!AY27+"Ug1!?2"</f>
        <v>#VALUE!</v>
      </c>
      <c r="DP9" t="e">
        <f ca="1">Time!AZ27+"Ug1!?3"</f>
        <v>#VALUE!</v>
      </c>
      <c r="DQ9" t="e">
        <f ca="1">Time!BA27+"Ug1!?4"</f>
        <v>#VALUE!</v>
      </c>
      <c r="DR9" t="e">
        <f ca="1">Time!BB27+"Ug1!?5"</f>
        <v>#VALUE!</v>
      </c>
      <c r="DS9" t="e">
        <f ca="1">Time!BC27+"Ug1!?6"</f>
        <v>#VALUE!</v>
      </c>
      <c r="DT9" t="e">
        <f ca="1">Time!BD27+"Ug1!?7"</f>
        <v>#VALUE!</v>
      </c>
      <c r="DU9" t="e">
        <f ca="1">Time!BE27+"Ug1!?8"</f>
        <v>#VALUE!</v>
      </c>
      <c r="DV9" t="e">
        <f ca="1">Time!BF27+"Ug1!?9"</f>
        <v>#VALUE!</v>
      </c>
      <c r="DW9" t="e">
        <f ca="1">Time!BG27+"Ug1!?:"</f>
        <v>#VALUE!</v>
      </c>
      <c r="DX9" t="e">
        <f ca="1">Time!BH27+"Ug1!?;"</f>
        <v>#VALUE!</v>
      </c>
      <c r="DY9" t="e">
        <f ca="1">Time!BI27+"Ug1!?&lt;"</f>
        <v>#VALUE!</v>
      </c>
      <c r="DZ9" t="e">
        <f ca="1">Time!BJ27+"Ug1!?="</f>
        <v>#VALUE!</v>
      </c>
      <c r="EA9" t="e">
        <f ca="1">Time!BK27+"Ug1!?&gt;"</f>
        <v>#VALUE!</v>
      </c>
      <c r="EB9" t="e">
        <f ca="1">Time!BL27+"Ug1!??"</f>
        <v>#VALUE!</v>
      </c>
      <c r="EC9" t="e">
        <f ca="1">Time!BM27+"Ug1!?@"</f>
        <v>#VALUE!</v>
      </c>
      <c r="ED9" t="e">
        <f ca="1">Time!BN27+"Ug1!?A"</f>
        <v>#VALUE!</v>
      </c>
      <c r="EE9" t="e">
        <f ca="1">Time!BO27+"Ug1!?B"</f>
        <v>#VALUE!</v>
      </c>
      <c r="EF9" t="e">
        <f ca="1">Time!BP27+"Ug1!?C"</f>
        <v>#VALUE!</v>
      </c>
      <c r="EG9" t="e">
        <f ca="1">Time!BQ27+"Ug1!?D"</f>
        <v>#VALUE!</v>
      </c>
      <c r="EH9" t="e">
        <f ca="1">Time!BR27+"Ug1!?E"</f>
        <v>#VALUE!</v>
      </c>
      <c r="EI9" t="e">
        <f ca="1">Time!BS27+"Ug1!?F"</f>
        <v>#VALUE!</v>
      </c>
      <c r="EJ9" t="e">
        <f ca="1">Time!BT27+"Ug1!?G"</f>
        <v>#VALUE!</v>
      </c>
      <c r="EK9" t="e">
        <f ca="1">Time!BU27+"Ug1!?H"</f>
        <v>#VALUE!</v>
      </c>
      <c r="EL9" t="e">
        <f ca="1">Time!BV27+"Ug1!?I"</f>
        <v>#VALUE!</v>
      </c>
      <c r="EM9" t="e">
        <f ca="1">Time!BW27+"Ug1!?J"</f>
        <v>#VALUE!</v>
      </c>
      <c r="EN9" t="e">
        <f ca="1">Time!BX27+"Ug1!?K"</f>
        <v>#VALUE!</v>
      </c>
      <c r="EO9" t="e">
        <f ca="1">Time!BY27+"Ug1!?L"</f>
        <v>#VALUE!</v>
      </c>
      <c r="EP9" t="e">
        <f ca="1">Time!A28+"Ug1!?M"</f>
        <v>#VALUE!</v>
      </c>
      <c r="EQ9" t="e">
        <f ca="1">Time!B28+"Ug1!?N"</f>
        <v>#VALUE!</v>
      </c>
      <c r="ER9" t="e">
        <f ca="1">Time!C28+"Ug1!?O"</f>
        <v>#VALUE!</v>
      </c>
      <c r="ES9" t="e">
        <f ca="1">Time!A29+"Ug1!?P"</f>
        <v>#VALUE!</v>
      </c>
      <c r="ET9" t="e">
        <f ca="1">Time!B29+"Ug1!?Q"</f>
        <v>#VALUE!</v>
      </c>
      <c r="EU9" t="e">
        <f ca="1">Time!C29+"Ug1!?R"</f>
        <v>#VALUE!</v>
      </c>
      <c r="EV9" t="e">
        <f ca="1">Time!A30+"Ug1!?S"</f>
        <v>#VALUE!</v>
      </c>
      <c r="EW9" t="e">
        <f ca="1">Time!B30+"Ug1!?T"</f>
        <v>#VALUE!</v>
      </c>
      <c r="EX9" t="e">
        <f ca="1">Time!C30+"Ug1!?U"</f>
        <v>#VALUE!</v>
      </c>
      <c r="EY9" t="e">
        <f ca="1">Time!A31+"Ug1!?V"</f>
        <v>#VALUE!</v>
      </c>
      <c r="EZ9" t="e">
        <f ca="1">Time!B31+"Ug1!?W"</f>
        <v>#VALUE!</v>
      </c>
      <c r="FA9" t="e">
        <f ca="1">Time!C31+"Ug1!?X"</f>
        <v>#VALUE!</v>
      </c>
      <c r="FB9" t="e">
        <f ca="1">Time!D31+"Ug1!?Y"</f>
        <v>#VALUE!</v>
      </c>
      <c r="FC9" t="e">
        <f ca="1">Time!E31+"Ug1!?Z"</f>
        <v>#VALUE!</v>
      </c>
      <c r="FD9" t="e">
        <f ca="1">Time!F31+"Ug1!?["</f>
        <v>#VALUE!</v>
      </c>
      <c r="FE9" t="e">
        <f ca="1">Time!G31+"Ug1!?\"</f>
        <v>#VALUE!</v>
      </c>
      <c r="FF9" t="e">
        <f ca="1">Time!A32+"Ug1!?]"</f>
        <v>#VALUE!</v>
      </c>
      <c r="FG9" t="e">
        <f ca="1">Time!B32+"Ug1!?^"</f>
        <v>#VALUE!</v>
      </c>
      <c r="FH9" t="e">
        <f ca="1">Time!C32+"Ug1!?_"</f>
        <v>#VALUE!</v>
      </c>
      <c r="FI9" t="e">
        <f ca="1">Time!D32+"Ug1!?`"</f>
        <v>#VALUE!</v>
      </c>
      <c r="FJ9" t="e">
        <f ca="1">Time!E32+"Ug1!?a"</f>
        <v>#VALUE!</v>
      </c>
      <c r="FK9" t="e">
        <f ca="1">Time!F32+"Ug1!?b"</f>
        <v>#VALUE!</v>
      </c>
      <c r="FL9" t="e">
        <f ca="1">Time!G32+"Ug1!?c"</f>
        <v>#VALUE!</v>
      </c>
      <c r="FM9" t="e">
        <f ca="1">Time!H32+"Ug1!?d"</f>
        <v>#VALUE!</v>
      </c>
      <c r="FN9" t="e">
        <f ca="1">Time!I32+"Ug1!?e"</f>
        <v>#VALUE!</v>
      </c>
      <c r="FO9" t="e">
        <f ca="1">Time!J32+"Ug1!?f"</f>
        <v>#VALUE!</v>
      </c>
      <c r="FP9" t="e">
        <f ca="1">Time!K32+"Ug1!?g"</f>
        <v>#VALUE!</v>
      </c>
      <c r="FQ9" t="e">
        <f ca="1">Time!L32+"Ug1!?h"</f>
        <v>#VALUE!</v>
      </c>
      <c r="FR9" t="e">
        <f ca="1">Time!M32+"Ug1!?i"</f>
        <v>#VALUE!</v>
      </c>
      <c r="FS9" t="e">
        <f ca="1">Time!N32+"Ug1!?j"</f>
        <v>#VALUE!</v>
      </c>
      <c r="FT9" t="e">
        <f ca="1">Time!O32+"Ug1!?k"</f>
        <v>#VALUE!</v>
      </c>
      <c r="FU9" t="e">
        <f ca="1">Time!P32+"Ug1!?l"</f>
        <v>#VALUE!</v>
      </c>
      <c r="FV9" t="e">
        <f ca="1">Time!Q32+"Ug1!?m"</f>
        <v>#VALUE!</v>
      </c>
      <c r="FW9" t="e">
        <f ca="1">Time!R32+"Ug1!?n"</f>
        <v>#VALUE!</v>
      </c>
      <c r="FX9" t="e">
        <f ca="1">Time!S32+"Ug1!?o"</f>
        <v>#VALUE!</v>
      </c>
      <c r="FY9" t="e">
        <f ca="1">Time!T32+"Ug1!?p"</f>
        <v>#VALUE!</v>
      </c>
      <c r="FZ9" t="e">
        <f ca="1">Time!U32+"Ug1!?q"</f>
        <v>#VALUE!</v>
      </c>
      <c r="GA9" t="e">
        <f ca="1">Time!V32+"Ug1!?r"</f>
        <v>#VALUE!</v>
      </c>
      <c r="GB9" t="e">
        <f ca="1">Time!W32+"Ug1!?s"</f>
        <v>#VALUE!</v>
      </c>
      <c r="GC9" t="e">
        <f ca="1">Time!X32+"Ug1!?t"</f>
        <v>#VALUE!</v>
      </c>
      <c r="GD9" t="e">
        <f ca="1">Time!Y32+"Ug1!?u"</f>
        <v>#VALUE!</v>
      </c>
      <c r="GE9" t="e">
        <f ca="1">Time!Z32+"Ug1!?v"</f>
        <v>#VALUE!</v>
      </c>
      <c r="GF9" t="e">
        <f ca="1">Time!AA32+"Ug1!?w"</f>
        <v>#VALUE!</v>
      </c>
      <c r="GG9" t="e">
        <f ca="1">Time!AB32+"Ug1!?x"</f>
        <v>#VALUE!</v>
      </c>
      <c r="GH9" t="e">
        <f ca="1">Time!AC32+"Ug1!?y"</f>
        <v>#VALUE!</v>
      </c>
      <c r="GI9" t="e">
        <f ca="1">Time!AD32+"Ug1!?z"</f>
        <v>#VALUE!</v>
      </c>
      <c r="GJ9" t="e">
        <f ca="1">Time!AE32+"Ug1!?{"</f>
        <v>#VALUE!</v>
      </c>
      <c r="GK9" t="e">
        <f ca="1">Time!AF32+"Ug1!?|"</f>
        <v>#VALUE!</v>
      </c>
      <c r="GL9" t="e">
        <f ca="1">Time!AG32+"Ug1!?}"</f>
        <v>#VALUE!</v>
      </c>
      <c r="GM9" t="e">
        <f ca="1">Time!AH32+"Ug1!?~"</f>
        <v>#VALUE!</v>
      </c>
      <c r="GN9" t="e">
        <f ca="1">Time!AI32+"Ug1!@#"</f>
        <v>#VALUE!</v>
      </c>
      <c r="GO9" t="e">
        <f ca="1">Time!AJ32+"Ug1!@$"</f>
        <v>#VALUE!</v>
      </c>
      <c r="GP9" t="e">
        <f ca="1">Time!AK32+"Ug1!@%"</f>
        <v>#VALUE!</v>
      </c>
      <c r="GQ9" t="e">
        <f ca="1">Time!AL32+"Ug1!@&amp;"</f>
        <v>#VALUE!</v>
      </c>
      <c r="GR9" t="e">
        <f ca="1">Time!AM32+"Ug1!@'"</f>
        <v>#VALUE!</v>
      </c>
      <c r="GS9" t="e">
        <f ca="1">Time!AN32+"Ug1!@("</f>
        <v>#VALUE!</v>
      </c>
      <c r="GT9" t="e">
        <f ca="1">Time!AO32+"Ug1!@)"</f>
        <v>#VALUE!</v>
      </c>
      <c r="GU9" t="e">
        <f ca="1">Time!AP32+"Ug1!@."</f>
        <v>#VALUE!</v>
      </c>
      <c r="GV9" t="e">
        <f ca="1">Time!AQ32+"Ug1!@/"</f>
        <v>#VALUE!</v>
      </c>
      <c r="GW9" t="e">
        <f ca="1">Time!AR32+"Ug1!@0"</f>
        <v>#VALUE!</v>
      </c>
      <c r="GX9" t="e">
        <f ca="1">Time!AS32+"Ug1!@1"</f>
        <v>#VALUE!</v>
      </c>
      <c r="GY9" t="e">
        <f ca="1">Time!AT32+"Ug1!@2"</f>
        <v>#VALUE!</v>
      </c>
      <c r="GZ9" t="e">
        <f ca="1">Time!AU32+"Ug1!@3"</f>
        <v>#VALUE!</v>
      </c>
      <c r="HA9" t="e">
        <f ca="1">Time!AV32+"Ug1!@4"</f>
        <v>#VALUE!</v>
      </c>
      <c r="HB9" t="e">
        <f ca="1">Time!AW32+"Ug1!@5"</f>
        <v>#VALUE!</v>
      </c>
      <c r="HC9" t="e">
        <f ca="1">Time!AX32+"Ug1!@6"</f>
        <v>#VALUE!</v>
      </c>
      <c r="HD9" t="e">
        <f ca="1">Time!AY32+"Ug1!@7"</f>
        <v>#VALUE!</v>
      </c>
      <c r="HE9" t="e">
        <f ca="1">Time!AZ32+"Ug1!@8"</f>
        <v>#VALUE!</v>
      </c>
      <c r="HF9" t="e">
        <f ca="1">Time!BA32+"Ug1!@9"</f>
        <v>#VALUE!</v>
      </c>
      <c r="HG9" t="e">
        <f ca="1">Time!BB32+"Ug1!@:"</f>
        <v>#VALUE!</v>
      </c>
      <c r="HH9" t="e">
        <f ca="1">Time!BC32+"Ug1!@;"</f>
        <v>#VALUE!</v>
      </c>
      <c r="HI9" t="e">
        <f ca="1">Time!BD32+"Ug1!@&lt;"</f>
        <v>#VALUE!</v>
      </c>
      <c r="HJ9" t="e">
        <f ca="1">Time!BE32+"Ug1!@="</f>
        <v>#VALUE!</v>
      </c>
      <c r="HK9" t="e">
        <f ca="1">Time!BF32+"Ug1!@&gt;"</f>
        <v>#VALUE!</v>
      </c>
      <c r="HL9" t="e">
        <f ca="1">Time!BG32+"Ug1!@?"</f>
        <v>#VALUE!</v>
      </c>
      <c r="HM9" t="e">
        <f ca="1">Time!BH32+"Ug1!@@"</f>
        <v>#VALUE!</v>
      </c>
      <c r="HN9" t="e">
        <f ca="1">Time!BI32+"Ug1!@A"</f>
        <v>#VALUE!</v>
      </c>
      <c r="HO9" t="e">
        <f ca="1">Time!BJ32+"Ug1!@B"</f>
        <v>#VALUE!</v>
      </c>
      <c r="HP9" t="e">
        <f ca="1">Time!BK32+"Ug1!@C"</f>
        <v>#VALUE!</v>
      </c>
      <c r="HQ9" t="e">
        <f ca="1">Time!BL32+"Ug1!@D"</f>
        <v>#VALUE!</v>
      </c>
      <c r="HR9" t="e">
        <f ca="1">Time!BM32+"Ug1!@E"</f>
        <v>#VALUE!</v>
      </c>
      <c r="HS9" t="e">
        <f ca="1">Time!BN32+"Ug1!@F"</f>
        <v>#VALUE!</v>
      </c>
      <c r="HT9" t="e">
        <f ca="1">Time!BO32+"Ug1!@G"</f>
        <v>#VALUE!</v>
      </c>
      <c r="HU9" t="e">
        <f ca="1">Time!BP32+"Ug1!@H"</f>
        <v>#VALUE!</v>
      </c>
      <c r="HV9" t="e">
        <f ca="1">Time!BQ32+"Ug1!@I"</f>
        <v>#VALUE!</v>
      </c>
      <c r="HW9" t="e">
        <f ca="1">Time!BR32+"Ug1!@J"</f>
        <v>#VALUE!</v>
      </c>
      <c r="HX9" t="e">
        <f ca="1">Time!BS32+"Ug1!@K"</f>
        <v>#VALUE!</v>
      </c>
      <c r="HY9" t="e">
        <f ca="1">Time!BT32+"Ug1!@L"</f>
        <v>#VALUE!</v>
      </c>
      <c r="HZ9" t="e">
        <f ca="1">Time!BU32+"Ug1!@M"</f>
        <v>#VALUE!</v>
      </c>
      <c r="IA9" t="e">
        <f ca="1">Time!BV32+"Ug1!@N"</f>
        <v>#VALUE!</v>
      </c>
      <c r="IB9" t="e">
        <f ca="1">Time!BW32+"Ug1!@O"</f>
        <v>#VALUE!</v>
      </c>
      <c r="IC9" t="e">
        <f ca="1">Time!BX32+"Ug1!@P"</f>
        <v>#VALUE!</v>
      </c>
      <c r="ID9" t="e">
        <f ca="1">Time!BY32+"Ug1!@Q"</f>
        <v>#VALUE!</v>
      </c>
      <c r="IE9" t="e">
        <f ca="1">Time!A33+"Ug1!@R"</f>
        <v>#VALUE!</v>
      </c>
      <c r="IF9" t="e">
        <f ca="1">Time!B33+"Ug1!@S"</f>
        <v>#VALUE!</v>
      </c>
      <c r="IG9" t="e">
        <f ca="1">Time!C33+"Ug1!@T"</f>
        <v>#VALUE!</v>
      </c>
      <c r="IH9" t="e">
        <f ca="1">Time!D33+"Ug1!@U"</f>
        <v>#VALUE!</v>
      </c>
      <c r="II9" t="e">
        <f ca="1">Time!E33+"Ug1!@V"</f>
        <v>#VALUE!</v>
      </c>
      <c r="IJ9" t="e">
        <f ca="1">Time!G33+"Ug1!@W"</f>
        <v>#VALUE!</v>
      </c>
      <c r="IK9" t="e">
        <f ca="1">Time!H33+"Ug1!@X"</f>
        <v>#VALUE!</v>
      </c>
      <c r="IL9" t="e">
        <f ca="1">Time!J33+"Ug1!@Y"</f>
        <v>#VALUE!</v>
      </c>
      <c r="IM9" t="e">
        <f ca="1">Time!K33+"Ug1!@Z"</f>
        <v>#VALUE!</v>
      </c>
      <c r="IN9" t="e">
        <f ca="1">Time!L33+"Ug1!@["</f>
        <v>#VALUE!</v>
      </c>
      <c r="IO9" t="e">
        <f ca="1">Time!M33+"Ug1!@\"</f>
        <v>#VALUE!</v>
      </c>
      <c r="IP9" t="e">
        <f ca="1">Time!N33+"Ug1!@]"</f>
        <v>#VALUE!</v>
      </c>
      <c r="IQ9" t="e">
        <f ca="1">Time!O33+"Ug1!@^"</f>
        <v>#VALUE!</v>
      </c>
      <c r="IR9" t="e">
        <f ca="1">Time!P33+"Ug1!@_"</f>
        <v>#VALUE!</v>
      </c>
      <c r="IS9" t="e">
        <f ca="1">Time!Q33+"Ug1!@`"</f>
        <v>#VALUE!</v>
      </c>
      <c r="IT9" t="e">
        <f ca="1">Time!R33+"Ug1!@a"</f>
        <v>#VALUE!</v>
      </c>
      <c r="IU9" t="e">
        <f ca="1">Time!S33+"Ug1!@b"</f>
        <v>#VALUE!</v>
      </c>
      <c r="IV9" t="e">
        <f ca="1">Time!T33+"Ug1!@c"</f>
        <v>#VALUE!</v>
      </c>
    </row>
    <row r="10" spans="1:256" x14ac:dyDescent="0.2">
      <c r="F10" t="e">
        <f ca="1">Time!U33+"Ug1!@d"</f>
        <v>#VALUE!</v>
      </c>
      <c r="G10" t="e">
        <f ca="1">Time!V33+"Ug1!@e"</f>
        <v>#VALUE!</v>
      </c>
      <c r="H10" t="e">
        <f ca="1">Time!W33+"Ug1!@f"</f>
        <v>#VALUE!</v>
      </c>
      <c r="I10" t="e">
        <f ca="1">Time!X33+"Ug1!@g"</f>
        <v>#VALUE!</v>
      </c>
      <c r="J10" t="e">
        <f ca="1">Time!Y33+"Ug1!@h"</f>
        <v>#VALUE!</v>
      </c>
      <c r="K10" t="e">
        <f ca="1">Time!Z33+"Ug1!@i"</f>
        <v>#VALUE!</v>
      </c>
      <c r="L10" t="e">
        <f ca="1">Time!AA33+"Ug1!@j"</f>
        <v>#VALUE!</v>
      </c>
      <c r="M10" t="e">
        <f ca="1">Time!AB33+"Ug1!@k"</f>
        <v>#VALUE!</v>
      </c>
      <c r="N10" t="e">
        <f ca="1">Time!AC33+"Ug1!@l"</f>
        <v>#VALUE!</v>
      </c>
      <c r="O10" t="e">
        <f ca="1">Time!AD33+"Ug1!@m"</f>
        <v>#VALUE!</v>
      </c>
      <c r="P10" t="e">
        <f ca="1">Time!AE33+"Ug1!@n"</f>
        <v>#VALUE!</v>
      </c>
      <c r="Q10" t="e">
        <f ca="1">Time!AF33+"Ug1!@o"</f>
        <v>#VALUE!</v>
      </c>
      <c r="R10" t="e">
        <f ca="1">Time!AG33+"Ug1!@p"</f>
        <v>#VALUE!</v>
      </c>
      <c r="S10" t="e">
        <f ca="1">Time!AH33+"Ug1!@q"</f>
        <v>#VALUE!</v>
      </c>
      <c r="T10" t="e">
        <f ca="1">Time!AI33+"Ug1!@r"</f>
        <v>#VALUE!</v>
      </c>
      <c r="U10" t="e">
        <f ca="1">Time!AJ33+"Ug1!@s"</f>
        <v>#VALUE!</v>
      </c>
      <c r="V10" t="e">
        <f ca="1">Time!AK33+"Ug1!@t"</f>
        <v>#VALUE!</v>
      </c>
      <c r="W10" t="e">
        <f ca="1">Time!AL33+"Ug1!@u"</f>
        <v>#VALUE!</v>
      </c>
      <c r="X10" t="e">
        <f ca="1">Time!AM33+"Ug1!@v"</f>
        <v>#VALUE!</v>
      </c>
      <c r="Y10" t="e">
        <f ca="1">Time!AN33+"Ug1!@w"</f>
        <v>#VALUE!</v>
      </c>
      <c r="Z10" t="e">
        <f ca="1">Time!AO33+"Ug1!@x"</f>
        <v>#VALUE!</v>
      </c>
      <c r="AA10" t="e">
        <f ca="1">Time!AP33+"Ug1!@y"</f>
        <v>#VALUE!</v>
      </c>
      <c r="AB10" t="e">
        <f ca="1">Time!AQ33+"Ug1!@z"</f>
        <v>#VALUE!</v>
      </c>
      <c r="AC10" t="e">
        <f ca="1">Time!AR33+"Ug1!@{"</f>
        <v>#VALUE!</v>
      </c>
      <c r="AD10" t="e">
        <f ca="1">Time!AS33+"Ug1!@|"</f>
        <v>#VALUE!</v>
      </c>
      <c r="AE10" t="e">
        <f ca="1">Time!AT33+"Ug1!@}"</f>
        <v>#VALUE!</v>
      </c>
      <c r="AF10" t="e">
        <f ca="1">Time!AU33+"Ug1!@~"</f>
        <v>#VALUE!</v>
      </c>
      <c r="AG10" t="e">
        <f ca="1">Time!AV33+"Ug1!A#"</f>
        <v>#VALUE!</v>
      </c>
      <c r="AH10" t="e">
        <f ca="1">Time!AW33+"Ug1!A$"</f>
        <v>#VALUE!</v>
      </c>
      <c r="AI10" t="e">
        <f ca="1">Time!AX33+"Ug1!A%"</f>
        <v>#VALUE!</v>
      </c>
      <c r="AJ10" t="e">
        <f ca="1">Time!AY33+"Ug1!A&amp;"</f>
        <v>#VALUE!</v>
      </c>
      <c r="AK10" t="e">
        <f ca="1">Time!AZ33+"Ug1!A'"</f>
        <v>#VALUE!</v>
      </c>
      <c r="AL10" t="e">
        <f ca="1">Time!BA33+"Ug1!A("</f>
        <v>#VALUE!</v>
      </c>
      <c r="AM10" t="e">
        <f ca="1">Time!BB33+"Ug1!A)"</f>
        <v>#VALUE!</v>
      </c>
      <c r="AN10" t="e">
        <f ca="1">Time!BC33+"Ug1!A."</f>
        <v>#VALUE!</v>
      </c>
      <c r="AO10" t="e">
        <f ca="1">Time!BD33+"Ug1!A/"</f>
        <v>#VALUE!</v>
      </c>
      <c r="AP10" t="e">
        <f ca="1">Time!BE33+"Ug1!A0"</f>
        <v>#VALUE!</v>
      </c>
      <c r="AQ10" t="e">
        <f ca="1">Time!BF33+"Ug1!A1"</f>
        <v>#VALUE!</v>
      </c>
      <c r="AR10" t="e">
        <f ca="1">Time!BG33+"Ug1!A2"</f>
        <v>#VALUE!</v>
      </c>
      <c r="AS10" t="e">
        <f ca="1">Time!BH33+"Ug1!A3"</f>
        <v>#VALUE!</v>
      </c>
      <c r="AT10" t="e">
        <f ca="1">Time!BI33+"Ug1!A4"</f>
        <v>#VALUE!</v>
      </c>
      <c r="AU10" t="e">
        <f ca="1">Time!BJ33+"Ug1!A5"</f>
        <v>#VALUE!</v>
      </c>
      <c r="AV10" t="e">
        <f ca="1">Time!BK33+"Ug1!A6"</f>
        <v>#VALUE!</v>
      </c>
      <c r="AW10" t="e">
        <f ca="1">Time!BL33+"Ug1!A7"</f>
        <v>#VALUE!</v>
      </c>
      <c r="AX10" t="e">
        <f ca="1">Time!BM33+"Ug1!A8"</f>
        <v>#VALUE!</v>
      </c>
      <c r="AY10" t="e">
        <f ca="1">Time!BN33+"Ug1!A9"</f>
        <v>#VALUE!</v>
      </c>
      <c r="AZ10" t="e">
        <f ca="1">Time!BO33+"Ug1!A:"</f>
        <v>#VALUE!</v>
      </c>
      <c r="BA10" t="e">
        <f ca="1">Time!BP33+"Ug1!A;"</f>
        <v>#VALUE!</v>
      </c>
      <c r="BB10" t="e">
        <f ca="1">Time!BQ33+"Ug1!A&lt;"</f>
        <v>#VALUE!</v>
      </c>
      <c r="BC10" t="e">
        <f ca="1">Time!BR33+"Ug1!A="</f>
        <v>#VALUE!</v>
      </c>
      <c r="BD10" t="e">
        <f ca="1">Time!BS33+"Ug1!A&gt;"</f>
        <v>#VALUE!</v>
      </c>
      <c r="BE10" t="e">
        <f ca="1">Time!BT33+"Ug1!A?"</f>
        <v>#VALUE!</v>
      </c>
      <c r="BF10" t="e">
        <f ca="1">Time!BU33+"Ug1!A@"</f>
        <v>#VALUE!</v>
      </c>
      <c r="BG10" t="e">
        <f ca="1">Time!BV33+"Ug1!AA"</f>
        <v>#VALUE!</v>
      </c>
      <c r="BH10" t="e">
        <f ca="1">Time!BW33+"Ug1!AB"</f>
        <v>#VALUE!</v>
      </c>
      <c r="BI10" t="e">
        <f ca="1">Time!BX33+"Ug1!AC"</f>
        <v>#VALUE!</v>
      </c>
      <c r="BJ10" t="e">
        <f ca="1">Time!BY33+"Ug1!AD"</f>
        <v>#VALUE!</v>
      </c>
      <c r="BK10" t="e">
        <f ca="1">Time!A34+"Ug1!AE"</f>
        <v>#VALUE!</v>
      </c>
      <c r="BL10" t="e">
        <f ca="1">Time!B34+"Ug1!AF"</f>
        <v>#VALUE!</v>
      </c>
      <c r="BM10" t="e">
        <f ca="1">Time!C34+"Ug1!AG"</f>
        <v>#VALUE!</v>
      </c>
      <c r="BN10" t="e">
        <f ca="1">Time!D34+"Ug1!AH"</f>
        <v>#VALUE!</v>
      </c>
      <c r="BO10" t="e">
        <f ca="1">Time!A35+"Ug1!AI"</f>
        <v>#VALUE!</v>
      </c>
      <c r="BP10" t="e">
        <f ca="1">Time!B35+"Ug1!AJ"</f>
        <v>#VALUE!</v>
      </c>
      <c r="BQ10" t="e">
        <f ca="1">Time!C35+"Ug1!AK"</f>
        <v>#VALUE!</v>
      </c>
      <c r="BR10" t="e">
        <f ca="1">Time!D35+"Ug1!AL"</f>
        <v>#VALUE!</v>
      </c>
      <c r="BS10" t="e">
        <f ca="1">Time!A36+"Ug1!AM"</f>
        <v>#VALUE!</v>
      </c>
      <c r="BT10" t="e">
        <f ca="1">Time!B36+"Ug1!AN"</f>
        <v>#VALUE!</v>
      </c>
      <c r="BU10" t="e">
        <f ca="1">Time!C36+"Ug1!AO"</f>
        <v>#VALUE!</v>
      </c>
      <c r="BV10" t="e">
        <f ca="1">Time!E36+"Ug1!AP"</f>
        <v>#VALUE!</v>
      </c>
      <c r="BW10" t="e">
        <f ca="1">Time!F36+"Ug1!AQ"</f>
        <v>#VALUE!</v>
      </c>
      <c r="BX10" t="e">
        <f ca="1">Time!G36+"Ug1!AR"</f>
        <v>#VALUE!</v>
      </c>
      <c r="BY10" t="e">
        <f ca="1">Time!A37+"Ug1!AS"</f>
        <v>#VALUE!</v>
      </c>
      <c r="BZ10" t="e">
        <f ca="1">Time!B37+"Ug1!AT"</f>
        <v>#VALUE!</v>
      </c>
      <c r="CA10" t="e">
        <f ca="1">Time!C37+"Ug1!AU"</f>
        <v>#VALUE!</v>
      </c>
      <c r="CB10" t="e">
        <f ca="1">Time!E37+"Ug1!AV"</f>
        <v>#VALUE!</v>
      </c>
      <c r="CC10" t="e">
        <f ca="1">Time!F37+"Ug1!AW"</f>
        <v>#VALUE!</v>
      </c>
      <c r="CD10" t="e">
        <f ca="1">Time!G37+"Ug1!AX"</f>
        <v>#VALUE!</v>
      </c>
      <c r="CE10" t="e">
        <f ca="1">Time!A38+"Ug1!AY"</f>
        <v>#VALUE!</v>
      </c>
      <c r="CF10" t="e">
        <f ca="1">Time!B38+"Ug1!AZ"</f>
        <v>#VALUE!</v>
      </c>
      <c r="CG10" t="e">
        <f ca="1">Time!C38+"Ug1!A["</f>
        <v>#VALUE!</v>
      </c>
      <c r="CH10" t="e">
        <f ca="1">Time!D38+"Ug1!A\"</f>
        <v>#VALUE!</v>
      </c>
      <c r="CI10" t="e">
        <f ca="1">Time!E38+"Ug1!A]"</f>
        <v>#VALUE!</v>
      </c>
      <c r="CJ10" t="e">
        <f ca="1">Time!F38+"Ug1!A^"</f>
        <v>#VALUE!</v>
      </c>
      <c r="CK10" t="e">
        <f ca="1">Time!G38+"Ug1!A_"</f>
        <v>#VALUE!</v>
      </c>
      <c r="CL10" t="e">
        <f ca="1">Time!A39+"Ug1!A`"</f>
        <v>#VALUE!</v>
      </c>
      <c r="CM10" t="e">
        <f ca="1">Time!B39+"Ug1!Aa"</f>
        <v>#VALUE!</v>
      </c>
      <c r="CN10" t="e">
        <f ca="1">Time!C39+"Ug1!Ab"</f>
        <v>#VALUE!</v>
      </c>
      <c r="CO10" t="e">
        <f ca="1">Time!D39+"Ug1!Ac"</f>
        <v>#VALUE!</v>
      </c>
      <c r="CP10" t="e">
        <f ca="1">Time!A40+"Ug1!Ad"</f>
        <v>#VALUE!</v>
      </c>
      <c r="CQ10" t="e">
        <f ca="1">Time!B40+"Ug1!Ae"</f>
        <v>#VALUE!</v>
      </c>
      <c r="CR10" t="e">
        <f ca="1">Time!C40+"Ug1!Af"</f>
        <v>#VALUE!</v>
      </c>
      <c r="CS10" t="e">
        <f ca="1">Time!D40+"Ug1!Ag"</f>
        <v>#VALUE!</v>
      </c>
      <c r="CT10" t="e">
        <f ca="1">Time!E40+"Ug1!Ah"</f>
        <v>#VALUE!</v>
      </c>
      <c r="CU10" t="e">
        <f ca="1">Time!F40+"Ug1!Ai"</f>
        <v>#VALUE!</v>
      </c>
      <c r="CV10" t="e">
        <f ca="1">Time!G40+"Ug1!Aj"</f>
        <v>#VALUE!</v>
      </c>
      <c r="CW10" t="e">
        <f ca="1">Time!A41+"Ug1!Ak"</f>
        <v>#VALUE!</v>
      </c>
      <c r="CX10" t="e">
        <f ca="1">Time!B41+"Ug1!Al"</f>
        <v>#VALUE!</v>
      </c>
      <c r="CY10" t="e">
        <f ca="1">Time!C41+"Ug1!Am"</f>
        <v>#VALUE!</v>
      </c>
      <c r="CZ10" t="e">
        <f ca="1">Time!D41+"Ug1!An"</f>
        <v>#VALUE!</v>
      </c>
      <c r="DA10" t="e">
        <f ca="1">Time!E41+"Ug1!Ao"</f>
        <v>#VALUE!</v>
      </c>
      <c r="DB10" t="e">
        <f ca="1">Time!F41+"Ug1!Ap"</f>
        <v>#VALUE!</v>
      </c>
      <c r="DC10" t="e">
        <f ca="1">Time!G41+"Ug1!Aq"</f>
        <v>#VALUE!</v>
      </c>
      <c r="DD10" t="e">
        <f ca="1">Time!A42+"Ug1!Ar"</f>
        <v>#VALUE!</v>
      </c>
      <c r="DE10" t="e">
        <f ca="1">Time!B42+"Ug1!As"</f>
        <v>#VALUE!</v>
      </c>
      <c r="DF10" t="e">
        <f ca="1">Time!C42+"Ug1!At"</f>
        <v>#VALUE!</v>
      </c>
      <c r="DG10" t="e">
        <f ca="1">Time!D42+"Ug1!Au"</f>
        <v>#VALUE!</v>
      </c>
      <c r="DH10" t="e">
        <f ca="1">Time!E42+"Ug1!Av"</f>
        <v>#VALUE!</v>
      </c>
      <c r="DI10" t="e">
        <f ca="1">Time!F42+"Ug1!Aw"</f>
        <v>#VALUE!</v>
      </c>
      <c r="DJ10" t="e">
        <f ca="1">Time!G42+"Ug1!Ax"</f>
        <v>#VALUE!</v>
      </c>
      <c r="DK10" t="e">
        <f ca="1">Time!H42+"Ug1!Ay"</f>
        <v>#VALUE!</v>
      </c>
      <c r="DL10" t="e">
        <f ca="1">Time!I42+"Ug1!Az"</f>
        <v>#VALUE!</v>
      </c>
      <c r="DM10" t="e">
        <f ca="1">Time!J42+"Ug1!A{"</f>
        <v>#VALUE!</v>
      </c>
      <c r="DN10" t="e">
        <f ca="1">Time!K42+"Ug1!A|"</f>
        <v>#VALUE!</v>
      </c>
      <c r="DO10" t="e">
        <f ca="1">Time!L42+"Ug1!A}"</f>
        <v>#VALUE!</v>
      </c>
      <c r="DP10" t="e">
        <f ca="1">Time!M42+"Ug1!A~"</f>
        <v>#VALUE!</v>
      </c>
      <c r="DQ10" t="e">
        <f ca="1">Time!N42+"Ug1!B#"</f>
        <v>#VALUE!</v>
      </c>
      <c r="DR10" t="e">
        <f ca="1">Time!O42+"Ug1!B$"</f>
        <v>#VALUE!</v>
      </c>
      <c r="DS10" t="e">
        <f ca="1">Time!P42+"Ug1!B%"</f>
        <v>#VALUE!</v>
      </c>
      <c r="DT10" t="e">
        <f ca="1">Time!Q42+"Ug1!B&amp;"</f>
        <v>#VALUE!</v>
      </c>
      <c r="DU10" t="e">
        <f ca="1">Time!R42+"Ug1!B'"</f>
        <v>#VALUE!</v>
      </c>
      <c r="DV10" t="e">
        <f ca="1">Time!S42+"Ug1!B("</f>
        <v>#VALUE!</v>
      </c>
      <c r="DW10" t="e">
        <f ca="1">Time!T42+"Ug1!B)"</f>
        <v>#VALUE!</v>
      </c>
      <c r="DX10" t="e">
        <f ca="1">Time!U42+"Ug1!B."</f>
        <v>#VALUE!</v>
      </c>
      <c r="DY10" t="e">
        <f ca="1">Time!V42+"Ug1!B/"</f>
        <v>#VALUE!</v>
      </c>
      <c r="DZ10" t="e">
        <f ca="1">Time!W42+"Ug1!B0"</f>
        <v>#VALUE!</v>
      </c>
      <c r="EA10" t="e">
        <f ca="1">Time!X42+"Ug1!B1"</f>
        <v>#VALUE!</v>
      </c>
      <c r="EB10" t="e">
        <f ca="1">Time!Y42+"Ug1!B2"</f>
        <v>#VALUE!</v>
      </c>
      <c r="EC10" t="e">
        <f ca="1">Time!Z42+"Ug1!B3"</f>
        <v>#VALUE!</v>
      </c>
      <c r="ED10" t="e">
        <f ca="1">Time!AA42+"Ug1!B4"</f>
        <v>#VALUE!</v>
      </c>
      <c r="EE10" t="e">
        <f ca="1">Time!AB42+"Ug1!B5"</f>
        <v>#VALUE!</v>
      </c>
      <c r="EF10" t="e">
        <f ca="1">Time!AC42+"Ug1!B6"</f>
        <v>#VALUE!</v>
      </c>
      <c r="EG10" t="e">
        <f ca="1">Time!AD42+"Ug1!B7"</f>
        <v>#VALUE!</v>
      </c>
      <c r="EH10" t="e">
        <f ca="1">Time!AE42+"Ug1!B8"</f>
        <v>#VALUE!</v>
      </c>
      <c r="EI10" t="e">
        <f ca="1">Time!AF42+"Ug1!B9"</f>
        <v>#VALUE!</v>
      </c>
      <c r="EJ10" t="e">
        <f ca="1">Time!AG42+"Ug1!B:"</f>
        <v>#VALUE!</v>
      </c>
      <c r="EK10" t="e">
        <f ca="1">Time!AH42+"Ug1!B;"</f>
        <v>#VALUE!</v>
      </c>
      <c r="EL10" t="e">
        <f ca="1">Time!AI42+"Ug1!B&lt;"</f>
        <v>#VALUE!</v>
      </c>
      <c r="EM10" t="e">
        <f ca="1">Time!AJ42+"Ug1!B="</f>
        <v>#VALUE!</v>
      </c>
      <c r="EN10" t="e">
        <f ca="1">Time!AK42+"Ug1!B&gt;"</f>
        <v>#VALUE!</v>
      </c>
      <c r="EO10" t="e">
        <f ca="1">Time!AL42+"Ug1!B?"</f>
        <v>#VALUE!</v>
      </c>
      <c r="EP10" t="e">
        <f ca="1">Time!AM42+"Ug1!B@"</f>
        <v>#VALUE!</v>
      </c>
      <c r="EQ10" t="e">
        <f ca="1">Time!AN42+"Ug1!BA"</f>
        <v>#VALUE!</v>
      </c>
      <c r="ER10" t="e">
        <f ca="1">Time!AO42+"Ug1!BB"</f>
        <v>#VALUE!</v>
      </c>
      <c r="ES10" t="e">
        <f ca="1">Time!AP42+"Ug1!BC"</f>
        <v>#VALUE!</v>
      </c>
      <c r="ET10" t="e">
        <f ca="1">Time!AQ42+"Ug1!BD"</f>
        <v>#VALUE!</v>
      </c>
      <c r="EU10" t="e">
        <f ca="1">Time!AR42+"Ug1!BE"</f>
        <v>#VALUE!</v>
      </c>
      <c r="EV10" t="e">
        <f ca="1">Time!AS42+"Ug1!BF"</f>
        <v>#VALUE!</v>
      </c>
      <c r="EW10" t="e">
        <f ca="1">Time!AT42+"Ug1!BG"</f>
        <v>#VALUE!</v>
      </c>
      <c r="EX10" t="e">
        <f ca="1">Time!AU42+"Ug1!BH"</f>
        <v>#VALUE!</v>
      </c>
      <c r="EY10" t="e">
        <f ca="1">Time!AV42+"Ug1!BI"</f>
        <v>#VALUE!</v>
      </c>
      <c r="EZ10" t="e">
        <f ca="1">Time!AW42+"Ug1!BJ"</f>
        <v>#VALUE!</v>
      </c>
      <c r="FA10" t="e">
        <f ca="1">Time!AX42+"Ug1!BK"</f>
        <v>#VALUE!</v>
      </c>
      <c r="FB10" t="e">
        <f ca="1">Time!AY42+"Ug1!BL"</f>
        <v>#VALUE!</v>
      </c>
      <c r="FC10" t="e">
        <f ca="1">Time!AZ42+"Ug1!BM"</f>
        <v>#VALUE!</v>
      </c>
      <c r="FD10" t="e">
        <f ca="1">Time!BA42+"Ug1!BN"</f>
        <v>#VALUE!</v>
      </c>
      <c r="FE10" t="e">
        <f ca="1">Time!BB42+"Ug1!BO"</f>
        <v>#VALUE!</v>
      </c>
      <c r="FF10" t="e">
        <f ca="1">Time!BC42+"Ug1!BP"</f>
        <v>#VALUE!</v>
      </c>
      <c r="FG10" t="e">
        <f ca="1">Time!BD42+"Ug1!BQ"</f>
        <v>#VALUE!</v>
      </c>
      <c r="FH10" t="e">
        <f ca="1">Time!BE42+"Ug1!BR"</f>
        <v>#VALUE!</v>
      </c>
      <c r="FI10" t="e">
        <f ca="1">Time!BF42+"Ug1!BS"</f>
        <v>#VALUE!</v>
      </c>
      <c r="FJ10" t="e">
        <f ca="1">Time!BG42+"Ug1!BT"</f>
        <v>#VALUE!</v>
      </c>
      <c r="FK10" t="e">
        <f ca="1">Time!BH42+"Ug1!BU"</f>
        <v>#VALUE!</v>
      </c>
      <c r="FL10" t="e">
        <f ca="1">Time!BI42+"Ug1!BV"</f>
        <v>#VALUE!</v>
      </c>
      <c r="FM10" t="e">
        <f ca="1">Time!BJ42+"Ug1!BW"</f>
        <v>#VALUE!</v>
      </c>
      <c r="FN10" t="e">
        <f ca="1">Time!BK42+"Ug1!BX"</f>
        <v>#VALUE!</v>
      </c>
      <c r="FO10" t="e">
        <f ca="1">Time!BL42+"Ug1!BY"</f>
        <v>#VALUE!</v>
      </c>
      <c r="FP10" t="e">
        <f ca="1">Time!BM42+"Ug1!BZ"</f>
        <v>#VALUE!</v>
      </c>
      <c r="FQ10" t="e">
        <f ca="1">Time!BN42+"Ug1!B["</f>
        <v>#VALUE!</v>
      </c>
      <c r="FR10" t="e">
        <f ca="1">Time!BO42+"Ug1!B\"</f>
        <v>#VALUE!</v>
      </c>
      <c r="FS10" t="e">
        <f ca="1">Time!BP42+"Ug1!B]"</f>
        <v>#VALUE!</v>
      </c>
      <c r="FT10" t="e">
        <f ca="1">Time!BQ42+"Ug1!B^"</f>
        <v>#VALUE!</v>
      </c>
      <c r="FU10" t="e">
        <f ca="1">Time!BR42+"Ug1!B_"</f>
        <v>#VALUE!</v>
      </c>
      <c r="FV10" t="e">
        <f ca="1">Time!BS42+"Ug1!B`"</f>
        <v>#VALUE!</v>
      </c>
      <c r="FW10" t="e">
        <f ca="1">Time!BT42+"Ug1!Ba"</f>
        <v>#VALUE!</v>
      </c>
      <c r="FX10" t="e">
        <f ca="1">Time!BU42+"Ug1!Bb"</f>
        <v>#VALUE!</v>
      </c>
      <c r="FY10" t="e">
        <f ca="1">Time!BV42+"Ug1!Bc"</f>
        <v>#VALUE!</v>
      </c>
      <c r="FZ10" t="e">
        <f ca="1">Time!BW42+"Ug1!Bd"</f>
        <v>#VALUE!</v>
      </c>
      <c r="GA10" t="e">
        <f ca="1">Time!BX42+"Ug1!Be"</f>
        <v>#VALUE!</v>
      </c>
      <c r="GB10" t="e">
        <f ca="1">Time!BY42+"Ug1!Bf"</f>
        <v>#VALUE!</v>
      </c>
      <c r="GC10" t="e">
        <f ca="1">Time!A43+"Ug1!Bg"</f>
        <v>#VALUE!</v>
      </c>
      <c r="GD10" t="e">
        <f ca="1">Time!B43+"Ug1!Bh"</f>
        <v>#VALUE!</v>
      </c>
      <c r="GE10" t="e">
        <f ca="1">Time!C43+"Ug1!Bi"</f>
        <v>#VALUE!</v>
      </c>
      <c r="GF10" t="e">
        <f ca="1">Time!D43+"Ug1!Bj"</f>
        <v>#VALUE!</v>
      </c>
      <c r="GG10" t="e">
        <f ca="1">Time!E43+"Ug1!Bk"</f>
        <v>#VALUE!</v>
      </c>
      <c r="GH10" t="e">
        <f ca="1">Time!G43+"Ug1!Bl"</f>
        <v>#VALUE!</v>
      </c>
      <c r="GI10" t="e">
        <f ca="1">Time!H43+"Ug1!Bm"</f>
        <v>#VALUE!</v>
      </c>
      <c r="GJ10" t="e">
        <f ca="1">Time!J43+"Ug1!Bn"</f>
        <v>#VALUE!</v>
      </c>
      <c r="GK10" t="e">
        <f ca="1">Time!K43+"Ug1!Bo"</f>
        <v>#VALUE!</v>
      </c>
      <c r="GL10" t="e">
        <f ca="1">Time!L43+"Ug1!Bp"</f>
        <v>#VALUE!</v>
      </c>
      <c r="GM10" t="e">
        <f ca="1">Time!M43+"Ug1!Bq"</f>
        <v>#VALUE!</v>
      </c>
      <c r="GN10" t="e">
        <f ca="1">Time!N43+"Ug1!Br"</f>
        <v>#VALUE!</v>
      </c>
      <c r="GO10" t="e">
        <f ca="1">Time!O43+"Ug1!Bs"</f>
        <v>#VALUE!</v>
      </c>
      <c r="GP10" t="e">
        <f ca="1">Time!P43+"Ug1!Bt"</f>
        <v>#VALUE!</v>
      </c>
      <c r="GQ10" t="e">
        <f ca="1">Time!Q43+"Ug1!Bu"</f>
        <v>#VALUE!</v>
      </c>
      <c r="GR10" t="e">
        <f ca="1">Time!R43+"Ug1!Bv"</f>
        <v>#VALUE!</v>
      </c>
      <c r="GS10" t="e">
        <f ca="1">Time!S43+"Ug1!Bw"</f>
        <v>#VALUE!</v>
      </c>
      <c r="GT10" t="e">
        <f ca="1">Time!T43+"Ug1!Bx"</f>
        <v>#VALUE!</v>
      </c>
      <c r="GU10" t="e">
        <f ca="1">Time!U43+"Ug1!By"</f>
        <v>#VALUE!</v>
      </c>
      <c r="GV10" t="e">
        <f ca="1">Time!V43+"Ug1!Bz"</f>
        <v>#VALUE!</v>
      </c>
      <c r="GW10" t="e">
        <f ca="1">Time!W43+"Ug1!B{"</f>
        <v>#VALUE!</v>
      </c>
      <c r="GX10" t="e">
        <f ca="1">Time!X43+"Ug1!B|"</f>
        <v>#VALUE!</v>
      </c>
      <c r="GY10" t="e">
        <f ca="1">Time!Y43+"Ug1!B}"</f>
        <v>#VALUE!</v>
      </c>
      <c r="GZ10" t="e">
        <f ca="1">Time!Z43+"Ug1!B~"</f>
        <v>#VALUE!</v>
      </c>
      <c r="HA10" t="e">
        <f ca="1">Time!AA43+"Ug1!C#"</f>
        <v>#VALUE!</v>
      </c>
      <c r="HB10" t="e">
        <f ca="1">Time!AB43+"Ug1!C$"</f>
        <v>#VALUE!</v>
      </c>
      <c r="HC10" t="e">
        <f ca="1">Time!AC43+"Ug1!C%"</f>
        <v>#VALUE!</v>
      </c>
      <c r="HD10" t="e">
        <f ca="1">Time!AD43+"Ug1!C&amp;"</f>
        <v>#VALUE!</v>
      </c>
      <c r="HE10" t="e">
        <f ca="1">Time!AE43+"Ug1!C'"</f>
        <v>#VALUE!</v>
      </c>
      <c r="HF10" t="e">
        <f ca="1">Time!AF43+"Ug1!C("</f>
        <v>#VALUE!</v>
      </c>
      <c r="HG10" t="e">
        <f ca="1">Time!AG43+"Ug1!C)"</f>
        <v>#VALUE!</v>
      </c>
      <c r="HH10" t="e">
        <f ca="1">Time!AH43+"Ug1!C."</f>
        <v>#VALUE!</v>
      </c>
      <c r="HI10" t="e">
        <f ca="1">Time!AI43+"Ug1!C/"</f>
        <v>#VALUE!</v>
      </c>
      <c r="HJ10" t="e">
        <f ca="1">Time!AJ43+"Ug1!C0"</f>
        <v>#VALUE!</v>
      </c>
      <c r="HK10" t="e">
        <f ca="1">Time!AK43+"Ug1!C1"</f>
        <v>#VALUE!</v>
      </c>
      <c r="HL10" t="e">
        <f ca="1">Time!AL43+"Ug1!C2"</f>
        <v>#VALUE!</v>
      </c>
      <c r="HM10" t="e">
        <f ca="1">Time!AM43+"Ug1!C3"</f>
        <v>#VALUE!</v>
      </c>
      <c r="HN10" t="e">
        <f ca="1">Time!AN43+"Ug1!C4"</f>
        <v>#VALUE!</v>
      </c>
      <c r="HO10" t="e">
        <f ca="1">Time!AO43+"Ug1!C5"</f>
        <v>#VALUE!</v>
      </c>
      <c r="HP10" t="e">
        <f ca="1">Time!AP43+"Ug1!C6"</f>
        <v>#VALUE!</v>
      </c>
      <c r="HQ10" t="e">
        <f ca="1">Time!AQ43+"Ug1!C7"</f>
        <v>#VALUE!</v>
      </c>
      <c r="HR10" t="e">
        <f ca="1">Time!AR43+"Ug1!C8"</f>
        <v>#VALUE!</v>
      </c>
      <c r="HS10" t="e">
        <f ca="1">Time!AS43+"Ug1!C9"</f>
        <v>#VALUE!</v>
      </c>
      <c r="HT10" t="e">
        <f ca="1">Time!AT43+"Ug1!C:"</f>
        <v>#VALUE!</v>
      </c>
      <c r="HU10" t="e">
        <f ca="1">Time!AU43+"Ug1!C;"</f>
        <v>#VALUE!</v>
      </c>
      <c r="HV10" t="e">
        <f ca="1">Time!AV43+"Ug1!C&lt;"</f>
        <v>#VALUE!</v>
      </c>
      <c r="HW10" t="e">
        <f ca="1">Time!AW43+"Ug1!C="</f>
        <v>#VALUE!</v>
      </c>
      <c r="HX10" t="e">
        <f ca="1">Time!AX43+"Ug1!C&gt;"</f>
        <v>#VALUE!</v>
      </c>
      <c r="HY10" t="e">
        <f ca="1">Time!AY43+"Ug1!C?"</f>
        <v>#VALUE!</v>
      </c>
      <c r="HZ10" t="e">
        <f ca="1">Time!AZ43+"Ug1!C@"</f>
        <v>#VALUE!</v>
      </c>
      <c r="IA10" t="e">
        <f ca="1">Time!BA43+"Ug1!CA"</f>
        <v>#VALUE!</v>
      </c>
      <c r="IB10" t="e">
        <f ca="1">Time!BB43+"Ug1!CB"</f>
        <v>#VALUE!</v>
      </c>
      <c r="IC10" t="e">
        <f ca="1">Time!BC43+"Ug1!CC"</f>
        <v>#VALUE!</v>
      </c>
      <c r="ID10" t="e">
        <f ca="1">Time!BD43+"Ug1!CD"</f>
        <v>#VALUE!</v>
      </c>
      <c r="IE10" t="e">
        <f ca="1">Time!BE43+"Ug1!CE"</f>
        <v>#VALUE!</v>
      </c>
      <c r="IF10" t="e">
        <f ca="1">Time!BF43+"Ug1!CF"</f>
        <v>#VALUE!</v>
      </c>
      <c r="IG10" t="e">
        <f ca="1">Time!BG43+"Ug1!CG"</f>
        <v>#VALUE!</v>
      </c>
      <c r="IH10" t="e">
        <f ca="1">Time!BH43+"Ug1!CH"</f>
        <v>#VALUE!</v>
      </c>
      <c r="II10" t="e">
        <f ca="1">Time!BI43+"Ug1!CI"</f>
        <v>#VALUE!</v>
      </c>
      <c r="IJ10" t="e">
        <f ca="1">Time!BJ43+"Ug1!CJ"</f>
        <v>#VALUE!</v>
      </c>
      <c r="IK10" t="e">
        <f ca="1">Time!BK43+"Ug1!CK"</f>
        <v>#VALUE!</v>
      </c>
      <c r="IL10" t="e">
        <f ca="1">Time!BL43+"Ug1!CL"</f>
        <v>#VALUE!</v>
      </c>
      <c r="IM10" t="e">
        <f ca="1">Time!BM43+"Ug1!CM"</f>
        <v>#VALUE!</v>
      </c>
      <c r="IN10" t="e">
        <f ca="1">Time!BN43+"Ug1!CN"</f>
        <v>#VALUE!</v>
      </c>
      <c r="IO10" t="e">
        <f ca="1">Time!BO43+"Ug1!CO"</f>
        <v>#VALUE!</v>
      </c>
      <c r="IP10" t="e">
        <f ca="1">Time!BP43+"Ug1!CP"</f>
        <v>#VALUE!</v>
      </c>
      <c r="IQ10" t="e">
        <f ca="1">Time!BQ43+"Ug1!CQ"</f>
        <v>#VALUE!</v>
      </c>
      <c r="IR10" t="e">
        <f ca="1">Time!BR43+"Ug1!CR"</f>
        <v>#VALUE!</v>
      </c>
      <c r="IS10" t="e">
        <f ca="1">Time!BS43+"Ug1!CS"</f>
        <v>#VALUE!</v>
      </c>
      <c r="IT10" t="e">
        <f ca="1">Time!BT43+"Ug1!CT"</f>
        <v>#VALUE!</v>
      </c>
      <c r="IU10" t="e">
        <f ca="1">Time!BU43+"Ug1!CU"</f>
        <v>#VALUE!</v>
      </c>
      <c r="IV10" t="e">
        <f ca="1">Time!BV43+"Ug1!CV"</f>
        <v>#VALUE!</v>
      </c>
    </row>
    <row r="11" spans="1:256" x14ac:dyDescent="0.2">
      <c r="F11" t="e">
        <f ca="1">Time!BW43+"Ug1!CW"</f>
        <v>#VALUE!</v>
      </c>
      <c r="G11" t="e">
        <f ca="1">Time!BX43+"Ug1!CX"</f>
        <v>#VALUE!</v>
      </c>
      <c r="H11" t="e">
        <f ca="1">Time!BY43+"Ug1!CY"</f>
        <v>#VALUE!</v>
      </c>
      <c r="I11" t="e">
        <f ca="1">Time!A44+"Ug1!CZ"</f>
        <v>#VALUE!</v>
      </c>
      <c r="J11" t="e">
        <f ca="1">Time!B44+"Ug1!C["</f>
        <v>#VALUE!</v>
      </c>
      <c r="K11" t="e">
        <f ca="1">Time!C44+"Ug1!C\"</f>
        <v>#VALUE!</v>
      </c>
      <c r="L11" t="e">
        <f ca="1">Time!D44+"Ug1!C]"</f>
        <v>#VALUE!</v>
      </c>
      <c r="M11" t="e">
        <f ca="1">Time!A45+"Ug1!C^"</f>
        <v>#VALUE!</v>
      </c>
      <c r="N11" t="e">
        <f ca="1">Time!B45+"Ug1!C_"</f>
        <v>#VALUE!</v>
      </c>
      <c r="O11" t="e">
        <f ca="1">Time!C45+"Ug1!C`"</f>
        <v>#VALUE!</v>
      </c>
      <c r="P11" t="e">
        <f ca="1">Time!D45+"Ug1!Ca"</f>
        <v>#VALUE!</v>
      </c>
      <c r="Q11" t="e">
        <f ca="1">Time!A46+"Ug1!Cb"</f>
        <v>#VALUE!</v>
      </c>
      <c r="R11" t="e">
        <f ca="1">Time!B46+"Ug1!Cc"</f>
        <v>#VALUE!</v>
      </c>
      <c r="S11" t="e">
        <f ca="1">Time!C46+"Ug1!Cd"</f>
        <v>#VALUE!</v>
      </c>
      <c r="T11" t="e">
        <f ca="1">Time!D46+"Ug1!Ce"</f>
        <v>#VALUE!</v>
      </c>
      <c r="U11" t="e">
        <f ca="1">Time!E46+"Ug1!Cf"</f>
        <v>#VALUE!</v>
      </c>
      <c r="V11" t="e">
        <f ca="1">Time!F46+"Ug1!Cg"</f>
        <v>#VALUE!</v>
      </c>
      <c r="W11" t="e">
        <f ca="1">Time!G46+"Ug1!Ch"</f>
        <v>#VALUE!</v>
      </c>
      <c r="X11" t="e">
        <f ca="1">Time!A47+"Ug1!Ci"</f>
        <v>#VALUE!</v>
      </c>
      <c r="Y11" t="e">
        <f ca="1">Time!B47+"Ug1!Cj"</f>
        <v>#VALUE!</v>
      </c>
      <c r="Z11" t="e">
        <f ca="1">Time!C47+"Ug1!Ck"</f>
        <v>#VALUE!</v>
      </c>
      <c r="AA11" t="e">
        <f ca="1">Time!D47+"Ug1!Cl"</f>
        <v>#VALUE!</v>
      </c>
      <c r="AB11" t="e">
        <f ca="1">Time!E47+"Ug1!Cm"</f>
        <v>#VALUE!</v>
      </c>
      <c r="AC11" t="e">
        <f ca="1">Time!F47+"Ug1!Cn"</f>
        <v>#VALUE!</v>
      </c>
      <c r="AD11" t="e">
        <f ca="1">Time!G47+"Ug1!Co"</f>
        <v>#VALUE!</v>
      </c>
      <c r="AE11" t="e">
        <f ca="1">Time!H47+"Ug1!Cp"</f>
        <v>#VALUE!</v>
      </c>
      <c r="AF11" t="e">
        <f ca="1">Time!I47+"Ug1!Cq"</f>
        <v>#VALUE!</v>
      </c>
      <c r="AG11" t="e">
        <f ca="1">Time!J47+"Ug1!Cr"</f>
        <v>#VALUE!</v>
      </c>
      <c r="AH11" t="e">
        <f ca="1">Time!K47+"Ug1!Cs"</f>
        <v>#VALUE!</v>
      </c>
      <c r="AI11" t="e">
        <f ca="1">Time!L47+"Ug1!Ct"</f>
        <v>#VALUE!</v>
      </c>
      <c r="AJ11" t="e">
        <f ca="1">Time!M47+"Ug1!Cu"</f>
        <v>#VALUE!</v>
      </c>
      <c r="AK11" t="e">
        <f ca="1">Time!N47+"Ug1!Cv"</f>
        <v>#VALUE!</v>
      </c>
      <c r="AL11" t="e">
        <f ca="1">Time!O47+"Ug1!Cw"</f>
        <v>#VALUE!</v>
      </c>
      <c r="AM11" t="e">
        <f ca="1">Time!P47+"Ug1!Cx"</f>
        <v>#VALUE!</v>
      </c>
      <c r="AN11" t="e">
        <f ca="1">Time!Q47+"Ug1!Cy"</f>
        <v>#VALUE!</v>
      </c>
      <c r="AO11" t="e">
        <f ca="1">Time!R47+"Ug1!Cz"</f>
        <v>#VALUE!</v>
      </c>
      <c r="AP11" t="e">
        <f ca="1">Time!S47+"Ug1!C{"</f>
        <v>#VALUE!</v>
      </c>
      <c r="AQ11" t="e">
        <f ca="1">Time!T47+"Ug1!C|"</f>
        <v>#VALUE!</v>
      </c>
      <c r="AR11" t="e">
        <f ca="1">Time!U47+"Ug1!C}"</f>
        <v>#VALUE!</v>
      </c>
      <c r="AS11" t="e">
        <f ca="1">Time!V47+"Ug1!C~"</f>
        <v>#VALUE!</v>
      </c>
      <c r="AT11" t="e">
        <f ca="1">Time!W47+"Ug1!D#"</f>
        <v>#VALUE!</v>
      </c>
      <c r="AU11" t="e">
        <f ca="1">Time!X47+"Ug1!D$"</f>
        <v>#VALUE!</v>
      </c>
      <c r="AV11" t="e">
        <f ca="1">Time!Y47+"Ug1!D%"</f>
        <v>#VALUE!</v>
      </c>
      <c r="AW11" t="e">
        <f ca="1">Time!Z47+"Ug1!D&amp;"</f>
        <v>#VALUE!</v>
      </c>
      <c r="AX11" t="e">
        <f ca="1">Time!AA47+"Ug1!D'"</f>
        <v>#VALUE!</v>
      </c>
      <c r="AY11" t="e">
        <f ca="1">Time!AB47+"Ug1!D("</f>
        <v>#VALUE!</v>
      </c>
      <c r="AZ11" t="e">
        <f ca="1">Time!AC47+"Ug1!D)"</f>
        <v>#VALUE!</v>
      </c>
      <c r="BA11" t="e">
        <f ca="1">Time!AD47+"Ug1!D."</f>
        <v>#VALUE!</v>
      </c>
      <c r="BB11" t="e">
        <f ca="1">Time!AE47+"Ug1!D/"</f>
        <v>#VALUE!</v>
      </c>
      <c r="BC11" t="e">
        <f ca="1">Time!AF47+"Ug1!D0"</f>
        <v>#VALUE!</v>
      </c>
      <c r="BD11" t="e">
        <f ca="1">Time!AG47+"Ug1!D1"</f>
        <v>#VALUE!</v>
      </c>
      <c r="BE11" t="e">
        <f ca="1">Time!AH47+"Ug1!D2"</f>
        <v>#VALUE!</v>
      </c>
      <c r="BF11" t="e">
        <f ca="1">Time!AI47+"Ug1!D3"</f>
        <v>#VALUE!</v>
      </c>
      <c r="BG11" t="e">
        <f ca="1">Time!AJ47+"Ug1!D4"</f>
        <v>#VALUE!</v>
      </c>
      <c r="BH11" t="e">
        <f ca="1">Time!AK47+"Ug1!D5"</f>
        <v>#VALUE!</v>
      </c>
      <c r="BI11" t="e">
        <f ca="1">Time!AL47+"Ug1!D6"</f>
        <v>#VALUE!</v>
      </c>
      <c r="BJ11" t="e">
        <f ca="1">Time!AM47+"Ug1!D7"</f>
        <v>#VALUE!</v>
      </c>
      <c r="BK11" t="e">
        <f ca="1">Time!AN47+"Ug1!D8"</f>
        <v>#VALUE!</v>
      </c>
      <c r="BL11" t="e">
        <f ca="1">Time!AO47+"Ug1!D9"</f>
        <v>#VALUE!</v>
      </c>
      <c r="BM11" t="e">
        <f ca="1">Time!AP47+"Ug1!D:"</f>
        <v>#VALUE!</v>
      </c>
      <c r="BN11" t="e">
        <f ca="1">Time!AQ47+"Ug1!D;"</f>
        <v>#VALUE!</v>
      </c>
      <c r="BO11" t="e">
        <f ca="1">Time!AR47+"Ug1!D&lt;"</f>
        <v>#VALUE!</v>
      </c>
      <c r="BP11" t="e">
        <f ca="1">Time!AS47+"Ug1!D="</f>
        <v>#VALUE!</v>
      </c>
      <c r="BQ11" t="e">
        <f ca="1">Time!AT47+"Ug1!D&gt;"</f>
        <v>#VALUE!</v>
      </c>
      <c r="BR11" t="e">
        <f ca="1">Time!AU47+"Ug1!D?"</f>
        <v>#VALUE!</v>
      </c>
      <c r="BS11" t="e">
        <f ca="1">Time!AV47+"Ug1!D@"</f>
        <v>#VALUE!</v>
      </c>
      <c r="BT11" t="e">
        <f ca="1">Time!AW47+"Ug1!DA"</f>
        <v>#VALUE!</v>
      </c>
      <c r="BU11" t="e">
        <f ca="1">Time!AX47+"Ug1!DB"</f>
        <v>#VALUE!</v>
      </c>
      <c r="BV11" t="e">
        <f ca="1">Time!AY47+"Ug1!DC"</f>
        <v>#VALUE!</v>
      </c>
      <c r="BW11" t="e">
        <f ca="1">Time!AZ47+"Ug1!DD"</f>
        <v>#VALUE!</v>
      </c>
      <c r="BX11" t="e">
        <f ca="1">Time!BA47+"Ug1!DE"</f>
        <v>#VALUE!</v>
      </c>
      <c r="BY11" t="e">
        <f ca="1">Time!BB47+"Ug1!DF"</f>
        <v>#VALUE!</v>
      </c>
      <c r="BZ11" t="e">
        <f ca="1">Time!BC47+"Ug1!DG"</f>
        <v>#VALUE!</v>
      </c>
      <c r="CA11" t="e">
        <f ca="1">Time!BD47+"Ug1!DH"</f>
        <v>#VALUE!</v>
      </c>
      <c r="CB11" t="e">
        <f ca="1">Time!BE47+"Ug1!DI"</f>
        <v>#VALUE!</v>
      </c>
      <c r="CC11" t="e">
        <f ca="1">Time!BF47+"Ug1!DJ"</f>
        <v>#VALUE!</v>
      </c>
      <c r="CD11" t="e">
        <f ca="1">Time!BG47+"Ug1!DK"</f>
        <v>#VALUE!</v>
      </c>
      <c r="CE11" t="e">
        <f ca="1">Time!BH47+"Ug1!DL"</f>
        <v>#VALUE!</v>
      </c>
      <c r="CF11" t="e">
        <f ca="1">Time!BI47+"Ug1!DM"</f>
        <v>#VALUE!</v>
      </c>
      <c r="CG11" t="e">
        <f ca="1">Time!BJ47+"Ug1!DN"</f>
        <v>#VALUE!</v>
      </c>
      <c r="CH11" t="e">
        <f ca="1">Time!BK47+"Ug1!DO"</f>
        <v>#VALUE!</v>
      </c>
      <c r="CI11" t="e">
        <f ca="1">Time!BL47+"Ug1!DP"</f>
        <v>#VALUE!</v>
      </c>
      <c r="CJ11" t="e">
        <f ca="1">Time!BM47+"Ug1!DQ"</f>
        <v>#VALUE!</v>
      </c>
      <c r="CK11" t="e">
        <f ca="1">Time!BN47+"Ug1!DR"</f>
        <v>#VALUE!</v>
      </c>
      <c r="CL11" t="e">
        <f ca="1">Time!BO47+"Ug1!DS"</f>
        <v>#VALUE!</v>
      </c>
      <c r="CM11" t="e">
        <f ca="1">Time!BP47+"Ug1!DT"</f>
        <v>#VALUE!</v>
      </c>
      <c r="CN11" t="e">
        <f ca="1">Time!BQ47+"Ug1!DU"</f>
        <v>#VALUE!</v>
      </c>
      <c r="CO11" t="e">
        <f ca="1">Time!BR47+"Ug1!DV"</f>
        <v>#VALUE!</v>
      </c>
      <c r="CP11" t="e">
        <f ca="1">Time!BS47+"Ug1!DW"</f>
        <v>#VALUE!</v>
      </c>
      <c r="CQ11" t="e">
        <f ca="1">Time!BT47+"Ug1!DX"</f>
        <v>#VALUE!</v>
      </c>
      <c r="CR11" t="e">
        <f ca="1">Time!BU47+"Ug1!DY"</f>
        <v>#VALUE!</v>
      </c>
      <c r="CS11" t="e">
        <f ca="1">Time!BV47+"Ug1!DZ"</f>
        <v>#VALUE!</v>
      </c>
      <c r="CT11" t="e">
        <f ca="1">Time!BW47+"Ug1!D["</f>
        <v>#VALUE!</v>
      </c>
      <c r="CU11" t="e">
        <f ca="1">Time!BX47+"Ug1!D\"</f>
        <v>#VALUE!</v>
      </c>
      <c r="CV11" t="e">
        <f ca="1">Time!BY47+"Ug1!D]"</f>
        <v>#VALUE!</v>
      </c>
      <c r="CW11" t="e">
        <f ca="1">Time!A48+"Ug1!D^"</f>
        <v>#VALUE!</v>
      </c>
      <c r="CX11" t="e">
        <f ca="1">Time!B48+"Ug1!D_"</f>
        <v>#VALUE!</v>
      </c>
      <c r="CY11" t="e">
        <f ca="1">Time!C48+"Ug1!D`"</f>
        <v>#VALUE!</v>
      </c>
      <c r="CZ11" t="e">
        <f ca="1">Time!D48+"Ug1!Da"</f>
        <v>#VALUE!</v>
      </c>
      <c r="DA11" t="e">
        <f ca="1">Time!E48+"Ug1!Db"</f>
        <v>#VALUE!</v>
      </c>
      <c r="DB11" t="e">
        <f ca="1">Time!F48+"Ug1!Dc"</f>
        <v>#VALUE!</v>
      </c>
      <c r="DC11" t="e">
        <f ca="1">Time!G48+"Ug1!Dd"</f>
        <v>#VALUE!</v>
      </c>
      <c r="DD11" t="e">
        <f ca="1">Time!H48+"Ug1!De"</f>
        <v>#VALUE!</v>
      </c>
      <c r="DE11" t="e">
        <f ca="1">Time!J48+"Ug1!Df"</f>
        <v>#VALUE!</v>
      </c>
      <c r="DF11" t="e">
        <f ca="1">Time!K48+"Ug1!Dg"</f>
        <v>#VALUE!</v>
      </c>
      <c r="DG11" t="e">
        <f ca="1">Time!L48+"Ug1!Dh"</f>
        <v>#VALUE!</v>
      </c>
      <c r="DH11" t="e">
        <f ca="1">Time!M48+"Ug1!Di"</f>
        <v>#VALUE!</v>
      </c>
      <c r="DI11" t="e">
        <f ca="1">Time!N48+"Ug1!Dj"</f>
        <v>#VALUE!</v>
      </c>
      <c r="DJ11" t="e">
        <f ca="1">Time!O48+"Ug1!Dk"</f>
        <v>#VALUE!</v>
      </c>
      <c r="DK11" t="e">
        <f ca="1">Time!P48+"Ug1!Dl"</f>
        <v>#VALUE!</v>
      </c>
      <c r="DL11" t="e">
        <f ca="1">Time!Q48+"Ug1!Dm"</f>
        <v>#VALUE!</v>
      </c>
      <c r="DM11" t="e">
        <f ca="1">Time!R48+"Ug1!Dn"</f>
        <v>#VALUE!</v>
      </c>
      <c r="DN11" t="e">
        <f ca="1">Time!S48+"Ug1!Do"</f>
        <v>#VALUE!</v>
      </c>
      <c r="DO11" t="e">
        <f ca="1">Time!T48+"Ug1!Dp"</f>
        <v>#VALUE!</v>
      </c>
      <c r="DP11" t="e">
        <f ca="1">Time!U48+"Ug1!Dq"</f>
        <v>#VALUE!</v>
      </c>
      <c r="DQ11" t="e">
        <f ca="1">Time!V48+"Ug1!Dr"</f>
        <v>#VALUE!</v>
      </c>
      <c r="DR11" t="e">
        <f ca="1">Time!W48+"Ug1!Ds"</f>
        <v>#VALUE!</v>
      </c>
      <c r="DS11" t="e">
        <f ca="1">Time!X48+"Ug1!Dt"</f>
        <v>#VALUE!</v>
      </c>
      <c r="DT11" t="e">
        <f ca="1">Time!Y48+"Ug1!Du"</f>
        <v>#VALUE!</v>
      </c>
      <c r="DU11" t="e">
        <f ca="1">Time!Z48+"Ug1!Dv"</f>
        <v>#VALUE!</v>
      </c>
      <c r="DV11" t="e">
        <f ca="1">Time!AA48+"Ug1!Dw"</f>
        <v>#VALUE!</v>
      </c>
      <c r="DW11" t="e">
        <f ca="1">Time!AB48+"Ug1!Dx"</f>
        <v>#VALUE!</v>
      </c>
      <c r="DX11" t="e">
        <f ca="1">Time!AC48+"Ug1!Dy"</f>
        <v>#VALUE!</v>
      </c>
      <c r="DY11" t="e">
        <f ca="1">Time!AD48+"Ug1!Dz"</f>
        <v>#VALUE!</v>
      </c>
      <c r="DZ11" t="e">
        <f ca="1">Time!AE48+"Ug1!D{"</f>
        <v>#VALUE!</v>
      </c>
      <c r="EA11" t="e">
        <f ca="1">Time!AF48+"Ug1!D|"</f>
        <v>#VALUE!</v>
      </c>
      <c r="EB11" t="e">
        <f ca="1">Time!AG48+"Ug1!D}"</f>
        <v>#VALUE!</v>
      </c>
      <c r="EC11" t="e">
        <f ca="1">Time!AH48+"Ug1!D~"</f>
        <v>#VALUE!</v>
      </c>
      <c r="ED11" t="e">
        <f ca="1">Time!AI48+"Ug1!E#"</f>
        <v>#VALUE!</v>
      </c>
      <c r="EE11" t="e">
        <f ca="1">Time!AJ48+"Ug1!E$"</f>
        <v>#VALUE!</v>
      </c>
      <c r="EF11" t="e">
        <f ca="1">Time!AK48+"Ug1!E%"</f>
        <v>#VALUE!</v>
      </c>
      <c r="EG11" t="e">
        <f ca="1">Time!AL48+"Ug1!E&amp;"</f>
        <v>#VALUE!</v>
      </c>
      <c r="EH11" t="e">
        <f ca="1">Time!AM48+"Ug1!E'"</f>
        <v>#VALUE!</v>
      </c>
      <c r="EI11" t="e">
        <f ca="1">Time!AN48+"Ug1!E("</f>
        <v>#VALUE!</v>
      </c>
      <c r="EJ11" t="e">
        <f ca="1">Time!AO48+"Ug1!E)"</f>
        <v>#VALUE!</v>
      </c>
      <c r="EK11" t="e">
        <f ca="1">Time!AP48+"Ug1!E."</f>
        <v>#VALUE!</v>
      </c>
      <c r="EL11" t="e">
        <f ca="1">Time!AQ48+"Ug1!E/"</f>
        <v>#VALUE!</v>
      </c>
      <c r="EM11" t="e">
        <f ca="1">Time!AR48+"Ug1!E0"</f>
        <v>#VALUE!</v>
      </c>
      <c r="EN11" t="e">
        <f ca="1">Time!AS48+"Ug1!E1"</f>
        <v>#VALUE!</v>
      </c>
      <c r="EO11" t="e">
        <f ca="1">Time!AT48+"Ug1!E2"</f>
        <v>#VALUE!</v>
      </c>
      <c r="EP11" t="e">
        <f ca="1">Time!AU48+"Ug1!E3"</f>
        <v>#VALUE!</v>
      </c>
      <c r="EQ11" t="e">
        <f ca="1">Time!AV48+"Ug1!E4"</f>
        <v>#VALUE!</v>
      </c>
      <c r="ER11" t="e">
        <f ca="1">Time!AW48+"Ug1!E5"</f>
        <v>#VALUE!</v>
      </c>
      <c r="ES11" t="e">
        <f ca="1">Time!AX48+"Ug1!E6"</f>
        <v>#VALUE!</v>
      </c>
      <c r="ET11" t="e">
        <f ca="1">Time!AY48+"Ug1!E7"</f>
        <v>#VALUE!</v>
      </c>
      <c r="EU11" t="e">
        <f ca="1">Time!AZ48+"Ug1!E8"</f>
        <v>#VALUE!</v>
      </c>
      <c r="EV11" t="e">
        <f ca="1">Time!BA48+"Ug1!E9"</f>
        <v>#VALUE!</v>
      </c>
      <c r="EW11" t="e">
        <f ca="1">Time!BB48+"Ug1!E:"</f>
        <v>#VALUE!</v>
      </c>
      <c r="EX11" t="e">
        <f ca="1">Time!BC48+"Ug1!E;"</f>
        <v>#VALUE!</v>
      </c>
      <c r="EY11" t="e">
        <f ca="1">Time!BD48+"Ug1!E&lt;"</f>
        <v>#VALUE!</v>
      </c>
      <c r="EZ11" t="e">
        <f ca="1">Time!BE48+"Ug1!E="</f>
        <v>#VALUE!</v>
      </c>
      <c r="FA11" t="e">
        <f ca="1">Time!BF48+"Ug1!E&gt;"</f>
        <v>#VALUE!</v>
      </c>
      <c r="FB11" t="e">
        <f ca="1">Time!BG48+"Ug1!E?"</f>
        <v>#VALUE!</v>
      </c>
      <c r="FC11" t="e">
        <f ca="1">Time!BH48+"Ug1!E@"</f>
        <v>#VALUE!</v>
      </c>
      <c r="FD11" t="e">
        <f ca="1">Time!BI48+"Ug1!EA"</f>
        <v>#VALUE!</v>
      </c>
      <c r="FE11" t="e">
        <f ca="1">Time!BJ48+"Ug1!EB"</f>
        <v>#VALUE!</v>
      </c>
      <c r="FF11" t="e">
        <f ca="1">Time!BK48+"Ug1!EC"</f>
        <v>#VALUE!</v>
      </c>
      <c r="FG11" t="e">
        <f ca="1">Time!BL48+"Ug1!ED"</f>
        <v>#VALUE!</v>
      </c>
      <c r="FH11" t="e">
        <f ca="1">Time!BM48+"Ug1!EE"</f>
        <v>#VALUE!</v>
      </c>
      <c r="FI11" t="e">
        <f ca="1">Time!BN48+"Ug1!EF"</f>
        <v>#VALUE!</v>
      </c>
      <c r="FJ11" t="e">
        <f ca="1">Time!BO48+"Ug1!EG"</f>
        <v>#VALUE!</v>
      </c>
      <c r="FK11" t="e">
        <f ca="1">Time!BP48+"Ug1!EH"</f>
        <v>#VALUE!</v>
      </c>
      <c r="FL11" t="e">
        <f ca="1">Time!BQ48+"Ug1!EI"</f>
        <v>#VALUE!</v>
      </c>
      <c r="FM11" t="e">
        <f ca="1">Time!BR48+"Ug1!EJ"</f>
        <v>#VALUE!</v>
      </c>
      <c r="FN11" t="e">
        <f ca="1">Time!BS48+"Ug1!EK"</f>
        <v>#VALUE!</v>
      </c>
      <c r="FO11" t="e">
        <f ca="1">Time!BT48+"Ug1!EL"</f>
        <v>#VALUE!</v>
      </c>
      <c r="FP11" t="e">
        <f ca="1">Time!BU48+"Ug1!EM"</f>
        <v>#VALUE!</v>
      </c>
      <c r="FQ11" t="e">
        <f ca="1">Time!BV48+"Ug1!EN"</f>
        <v>#VALUE!</v>
      </c>
      <c r="FR11" t="e">
        <f ca="1">Time!BW48+"Ug1!EO"</f>
        <v>#VALUE!</v>
      </c>
      <c r="FS11" t="e">
        <f ca="1">Time!BX48+"Ug1!EP"</f>
        <v>#VALUE!</v>
      </c>
      <c r="FT11" t="e">
        <f ca="1">Time!BY48+"Ug1!EQ"</f>
        <v>#VALUE!</v>
      </c>
      <c r="FU11" t="e">
        <f ca="1">Time!A49+"Ug1!ER"</f>
        <v>#VALUE!</v>
      </c>
      <c r="FV11" t="e">
        <f ca="1">Time!B49+"Ug1!ES"</f>
        <v>#VALUE!</v>
      </c>
      <c r="FW11" t="e">
        <f ca="1">Time!C49+"Ug1!ET"</f>
        <v>#VALUE!</v>
      </c>
      <c r="FX11" t="e">
        <f ca="1">Time!D49+"Ug1!EU"</f>
        <v>#VALUE!</v>
      </c>
      <c r="FY11" t="e">
        <f ca="1">Time!E49+"Ug1!EV"</f>
        <v>#VALUE!</v>
      </c>
      <c r="FZ11" t="e">
        <f ca="1">Time!F49+"Ug1!EW"</f>
        <v>#VALUE!</v>
      </c>
      <c r="GA11" t="e">
        <f ca="1">Time!G49+"Ug1!EX"</f>
        <v>#VALUE!</v>
      </c>
      <c r="GB11" t="e">
        <f ca="1">Time!H49+"Ug1!EY"</f>
        <v>#VALUE!</v>
      </c>
      <c r="GC11" t="e">
        <f ca="1">Time!I49+"Ug1!EZ"</f>
        <v>#VALUE!</v>
      </c>
      <c r="GD11" t="e">
        <f ca="1">Time!J49+"Ug1!E["</f>
        <v>#VALUE!</v>
      </c>
      <c r="GE11" t="e">
        <f ca="1">Time!K49+"Ug1!E\"</f>
        <v>#VALUE!</v>
      </c>
      <c r="GF11" t="e">
        <f ca="1">Time!L49+"Ug1!E]"</f>
        <v>#VALUE!</v>
      </c>
      <c r="GG11" t="e">
        <f ca="1">Time!M49+"Ug1!E^"</f>
        <v>#VALUE!</v>
      </c>
      <c r="GH11" t="e">
        <f ca="1">Time!N49+"Ug1!E_"</f>
        <v>#VALUE!</v>
      </c>
      <c r="GI11" t="e">
        <f ca="1">Time!O49+"Ug1!E`"</f>
        <v>#VALUE!</v>
      </c>
      <c r="GJ11" t="e">
        <f ca="1">Time!P49+"Ug1!Ea"</f>
        <v>#VALUE!</v>
      </c>
      <c r="GK11" t="e">
        <f ca="1">Time!Q49+"Ug1!Eb"</f>
        <v>#VALUE!</v>
      </c>
      <c r="GL11" t="e">
        <f ca="1">Time!R49+"Ug1!Ec"</f>
        <v>#VALUE!</v>
      </c>
      <c r="GM11" t="e">
        <f ca="1">Time!S49+"Ug1!Ed"</f>
        <v>#VALUE!</v>
      </c>
      <c r="GN11" t="e">
        <f ca="1">Time!T49+"Ug1!Ee"</f>
        <v>#VALUE!</v>
      </c>
      <c r="GO11" t="e">
        <f ca="1">Time!U49+"Ug1!Ef"</f>
        <v>#VALUE!</v>
      </c>
      <c r="GP11" t="e">
        <f ca="1">Time!V49+"Ug1!Eg"</f>
        <v>#VALUE!</v>
      </c>
      <c r="GQ11" t="e">
        <f ca="1">Time!W49+"Ug1!Eh"</f>
        <v>#VALUE!</v>
      </c>
      <c r="GR11" t="e">
        <f ca="1">Time!X49+"Ug1!Ei"</f>
        <v>#VALUE!</v>
      </c>
      <c r="GS11" t="e">
        <f ca="1">Time!Y49+"Ug1!Ej"</f>
        <v>#VALUE!</v>
      </c>
      <c r="GT11" t="e">
        <f ca="1">Time!Z49+"Ug1!Ek"</f>
        <v>#VALUE!</v>
      </c>
      <c r="GU11" t="e">
        <f ca="1">Time!AA49+"Ug1!El"</f>
        <v>#VALUE!</v>
      </c>
      <c r="GV11" t="e">
        <f ca="1">Time!AB49+"Ug1!Em"</f>
        <v>#VALUE!</v>
      </c>
      <c r="GW11" t="e">
        <f ca="1">Time!AC49+"Ug1!En"</f>
        <v>#VALUE!</v>
      </c>
      <c r="GX11" t="e">
        <f ca="1">Time!AD49+"Ug1!Eo"</f>
        <v>#VALUE!</v>
      </c>
      <c r="GY11" t="e">
        <f ca="1">Time!AE49+"Ug1!Ep"</f>
        <v>#VALUE!</v>
      </c>
      <c r="GZ11" t="e">
        <f ca="1">Time!AF49+"Ug1!Eq"</f>
        <v>#VALUE!</v>
      </c>
      <c r="HA11" t="e">
        <f ca="1">Time!AG49+"Ug1!Er"</f>
        <v>#VALUE!</v>
      </c>
      <c r="HB11" t="e">
        <f ca="1">Time!AH49+"Ug1!Es"</f>
        <v>#VALUE!</v>
      </c>
      <c r="HC11" t="e">
        <f ca="1">Time!AI49+"Ug1!Et"</f>
        <v>#VALUE!</v>
      </c>
      <c r="HD11" t="e">
        <f ca="1">Time!AJ49+"Ug1!Eu"</f>
        <v>#VALUE!</v>
      </c>
      <c r="HE11" t="e">
        <f ca="1">Time!AK49+"Ug1!Ev"</f>
        <v>#VALUE!</v>
      </c>
      <c r="HF11" t="e">
        <f ca="1">Time!AL49+"Ug1!Ew"</f>
        <v>#VALUE!</v>
      </c>
      <c r="HG11" t="e">
        <f ca="1">Time!AM49+"Ug1!Ex"</f>
        <v>#VALUE!</v>
      </c>
      <c r="HH11" t="e">
        <f ca="1">Time!AN49+"Ug1!Ey"</f>
        <v>#VALUE!</v>
      </c>
      <c r="HI11" t="e">
        <f ca="1">Time!AO49+"Ug1!Ez"</f>
        <v>#VALUE!</v>
      </c>
      <c r="HJ11" t="e">
        <f ca="1">Time!AP49+"Ug1!E{"</f>
        <v>#VALUE!</v>
      </c>
      <c r="HK11" t="e">
        <f ca="1">Time!AQ49+"Ug1!E|"</f>
        <v>#VALUE!</v>
      </c>
      <c r="HL11" t="e">
        <f ca="1">Time!AR49+"Ug1!E}"</f>
        <v>#VALUE!</v>
      </c>
      <c r="HM11" t="e">
        <f ca="1">Time!AS49+"Ug1!E~"</f>
        <v>#VALUE!</v>
      </c>
      <c r="HN11" t="e">
        <f ca="1">Time!AT49+"Ug1!F#"</f>
        <v>#VALUE!</v>
      </c>
      <c r="HO11" t="e">
        <f ca="1">Time!AU49+"Ug1!F$"</f>
        <v>#VALUE!</v>
      </c>
      <c r="HP11" t="e">
        <f ca="1">Time!AV49+"Ug1!F%"</f>
        <v>#VALUE!</v>
      </c>
      <c r="HQ11" t="e">
        <f ca="1">Time!AW49+"Ug1!F&amp;"</f>
        <v>#VALUE!</v>
      </c>
      <c r="HR11" t="e">
        <f ca="1">Time!AX49+"Ug1!F'"</f>
        <v>#VALUE!</v>
      </c>
      <c r="HS11" t="e">
        <f ca="1">Time!AY49+"Ug1!F("</f>
        <v>#VALUE!</v>
      </c>
      <c r="HT11" t="e">
        <f ca="1">Time!AZ49+"Ug1!F)"</f>
        <v>#VALUE!</v>
      </c>
      <c r="HU11" t="e">
        <f ca="1">Time!BA49+"Ug1!F."</f>
        <v>#VALUE!</v>
      </c>
      <c r="HV11" t="e">
        <f ca="1">Time!BB49+"Ug1!F/"</f>
        <v>#VALUE!</v>
      </c>
      <c r="HW11" t="e">
        <f ca="1">Time!BC49+"Ug1!F0"</f>
        <v>#VALUE!</v>
      </c>
      <c r="HX11" t="e">
        <f ca="1">Time!BD49+"Ug1!F1"</f>
        <v>#VALUE!</v>
      </c>
      <c r="HY11" t="e">
        <f ca="1">Time!BE49+"Ug1!F2"</f>
        <v>#VALUE!</v>
      </c>
      <c r="HZ11" t="e">
        <f ca="1">Time!BF49+"Ug1!F3"</f>
        <v>#VALUE!</v>
      </c>
      <c r="IA11" t="e">
        <f ca="1">Time!BG49+"Ug1!F4"</f>
        <v>#VALUE!</v>
      </c>
      <c r="IB11" t="e">
        <f ca="1">Time!BH49+"Ug1!F5"</f>
        <v>#VALUE!</v>
      </c>
      <c r="IC11" t="e">
        <f ca="1">Time!BI49+"Ug1!F6"</f>
        <v>#VALUE!</v>
      </c>
      <c r="ID11" t="e">
        <f ca="1">Time!BJ49+"Ug1!F7"</f>
        <v>#VALUE!</v>
      </c>
      <c r="IE11" t="e">
        <f ca="1">Time!BK49+"Ug1!F8"</f>
        <v>#VALUE!</v>
      </c>
      <c r="IF11" t="e">
        <f ca="1">Time!BL49+"Ug1!F9"</f>
        <v>#VALUE!</v>
      </c>
      <c r="IG11" t="e">
        <f ca="1">Time!BM49+"Ug1!F:"</f>
        <v>#VALUE!</v>
      </c>
      <c r="IH11" t="e">
        <f ca="1">Time!BN49+"Ug1!F;"</f>
        <v>#VALUE!</v>
      </c>
      <c r="II11" t="e">
        <f ca="1">Time!BO49+"Ug1!F&lt;"</f>
        <v>#VALUE!</v>
      </c>
      <c r="IJ11" t="e">
        <f ca="1">Time!BP49+"Ug1!F="</f>
        <v>#VALUE!</v>
      </c>
      <c r="IK11" t="e">
        <f ca="1">Time!BQ49+"Ug1!F&gt;"</f>
        <v>#VALUE!</v>
      </c>
      <c r="IL11" t="e">
        <f ca="1">Time!BR49+"Ug1!F?"</f>
        <v>#VALUE!</v>
      </c>
      <c r="IM11" t="e">
        <f ca="1">Time!BS49+"Ug1!F@"</f>
        <v>#VALUE!</v>
      </c>
      <c r="IN11" t="e">
        <f ca="1">Time!BT49+"Ug1!FA"</f>
        <v>#VALUE!</v>
      </c>
      <c r="IO11" t="e">
        <f ca="1">Time!BU49+"Ug1!FB"</f>
        <v>#VALUE!</v>
      </c>
      <c r="IP11" t="e">
        <f ca="1">Time!BV49+"Ug1!FC"</f>
        <v>#VALUE!</v>
      </c>
      <c r="IQ11" t="e">
        <f ca="1">Time!BW49+"Ug1!FD"</f>
        <v>#VALUE!</v>
      </c>
      <c r="IR11" t="e">
        <f ca="1">Time!BX49+"Ug1!FE"</f>
        <v>#VALUE!</v>
      </c>
      <c r="IS11" t="e">
        <f ca="1">Time!BY49+"Ug1!FF"</f>
        <v>#VALUE!</v>
      </c>
      <c r="IT11" t="e">
        <f ca="1">Time!A51+"Ug1!FG"</f>
        <v>#VALUE!</v>
      </c>
      <c r="IU11" t="e">
        <f ca="1">Time!B51+"Ug1!FH"</f>
        <v>#VALUE!</v>
      </c>
      <c r="IV11" t="e">
        <f ca="1">Time!C51+"Ug1!FI"</f>
        <v>#VALUE!</v>
      </c>
    </row>
    <row r="12" spans="1:256" x14ac:dyDescent="0.2">
      <c r="F12" t="e">
        <f ca="1">Time!D51+"Ug1!FJ"</f>
        <v>#VALUE!</v>
      </c>
      <c r="G12" t="e">
        <f ca="1">Time!E51+"Ug1!FK"</f>
        <v>#VALUE!</v>
      </c>
      <c r="H12" t="e">
        <f ca="1">Time!F51+"Ug1!FL"</f>
        <v>#VALUE!</v>
      </c>
      <c r="I12" t="e">
        <f ca="1">Time!G51+"Ug1!FM"</f>
        <v>#VALUE!</v>
      </c>
      <c r="J12" t="e">
        <f ca="1">Time!H51+"Ug1!FN"</f>
        <v>#VALUE!</v>
      </c>
      <c r="K12" t="e">
        <f ca="1">Time!I51+"Ug1!FO"</f>
        <v>#VALUE!</v>
      </c>
      <c r="L12" t="e">
        <f ca="1">Time!J51+"Ug1!FP"</f>
        <v>#VALUE!</v>
      </c>
      <c r="M12" t="e">
        <f ca="1">Time!K51+"Ug1!FQ"</f>
        <v>#VALUE!</v>
      </c>
      <c r="N12" t="e">
        <f ca="1">Time!L51+"Ug1!FR"</f>
        <v>#VALUE!</v>
      </c>
      <c r="O12" t="e">
        <f ca="1">Time!M51+"Ug1!FS"</f>
        <v>#VALUE!</v>
      </c>
      <c r="P12" t="e">
        <f ca="1">Time!N51+"Ug1!FT"</f>
        <v>#VALUE!</v>
      </c>
      <c r="Q12" t="e">
        <f ca="1">Time!O51+"Ug1!FU"</f>
        <v>#VALUE!</v>
      </c>
      <c r="R12" t="e">
        <f ca="1">Time!P51+"Ug1!FV"</f>
        <v>#VALUE!</v>
      </c>
      <c r="S12" t="e">
        <f ca="1">Time!Q51+"Ug1!FW"</f>
        <v>#VALUE!</v>
      </c>
      <c r="T12" t="e">
        <f ca="1">Time!R51+"Ug1!FX"</f>
        <v>#VALUE!</v>
      </c>
      <c r="U12" t="e">
        <f ca="1">Time!S51+"Ug1!FY"</f>
        <v>#VALUE!</v>
      </c>
      <c r="V12" t="e">
        <f ca="1">Time!T51+"Ug1!FZ"</f>
        <v>#VALUE!</v>
      </c>
      <c r="W12" t="e">
        <f ca="1">Time!U51+"Ug1!F["</f>
        <v>#VALUE!</v>
      </c>
      <c r="X12" t="e">
        <f ca="1">Time!V51+"Ug1!F\"</f>
        <v>#VALUE!</v>
      </c>
      <c r="Y12" t="e">
        <f ca="1">Time!W51+"Ug1!F]"</f>
        <v>#VALUE!</v>
      </c>
      <c r="Z12" t="e">
        <f ca="1">Time!X51+"Ug1!F^"</f>
        <v>#VALUE!</v>
      </c>
      <c r="AA12" t="e">
        <f ca="1">Time!Y51+"Ug1!F_"</f>
        <v>#VALUE!</v>
      </c>
      <c r="AB12" t="e">
        <f ca="1">Time!Z51+"Ug1!F`"</f>
        <v>#VALUE!</v>
      </c>
      <c r="AC12" t="e">
        <f ca="1">Time!AA51+"Ug1!Fa"</f>
        <v>#VALUE!</v>
      </c>
      <c r="AD12" t="e">
        <f ca="1">Time!AB51+"Ug1!Fb"</f>
        <v>#VALUE!</v>
      </c>
      <c r="AE12" t="e">
        <f ca="1">Time!AC51+"Ug1!Fc"</f>
        <v>#VALUE!</v>
      </c>
      <c r="AF12" t="e">
        <f ca="1">Time!AD51+"Ug1!Fd"</f>
        <v>#VALUE!</v>
      </c>
      <c r="AG12" t="e">
        <f ca="1">Time!AE51+"Ug1!Fe"</f>
        <v>#VALUE!</v>
      </c>
      <c r="AH12" t="e">
        <f ca="1">Time!AF51+"Ug1!Ff"</f>
        <v>#VALUE!</v>
      </c>
      <c r="AI12" t="e">
        <f ca="1">Time!AG51+"Ug1!Fg"</f>
        <v>#VALUE!</v>
      </c>
      <c r="AJ12" t="e">
        <f ca="1">Time!AH51+"Ug1!Fh"</f>
        <v>#VALUE!</v>
      </c>
      <c r="AK12" t="e">
        <f ca="1">Time!AI51+"Ug1!Fi"</f>
        <v>#VALUE!</v>
      </c>
      <c r="AL12" t="e">
        <f ca="1">Time!AJ51+"Ug1!Fj"</f>
        <v>#VALUE!</v>
      </c>
      <c r="AM12" t="e">
        <f ca="1">Time!AK51+"Ug1!Fk"</f>
        <v>#VALUE!</v>
      </c>
      <c r="AN12" t="e">
        <f ca="1">Time!AL51+"Ug1!Fl"</f>
        <v>#VALUE!</v>
      </c>
      <c r="AO12" t="e">
        <f ca="1">Time!AM51+"Ug1!Fm"</f>
        <v>#VALUE!</v>
      </c>
      <c r="AP12" t="e">
        <f ca="1">Time!AN51+"Ug1!Fn"</f>
        <v>#VALUE!</v>
      </c>
      <c r="AQ12" t="e">
        <f ca="1">Time!AO51+"Ug1!Fo"</f>
        <v>#VALUE!</v>
      </c>
      <c r="AR12" t="e">
        <f ca="1">Time!AP51+"Ug1!Fp"</f>
        <v>#VALUE!</v>
      </c>
      <c r="AS12" t="e">
        <f ca="1">Time!AQ51+"Ug1!Fq"</f>
        <v>#VALUE!</v>
      </c>
      <c r="AT12" t="e">
        <f ca="1">Time!AR51+"Ug1!Fr"</f>
        <v>#VALUE!</v>
      </c>
      <c r="AU12" t="e">
        <f ca="1">Time!AS51+"Ug1!Fs"</f>
        <v>#VALUE!</v>
      </c>
      <c r="AV12" t="e">
        <f ca="1">Time!AT51+"Ug1!Ft"</f>
        <v>#VALUE!</v>
      </c>
      <c r="AW12" t="e">
        <f ca="1">Time!AU51+"Ug1!Fu"</f>
        <v>#VALUE!</v>
      </c>
      <c r="AX12" t="e">
        <f ca="1">Time!AV51+"Ug1!Fv"</f>
        <v>#VALUE!</v>
      </c>
      <c r="AY12" t="e">
        <f ca="1">Time!AW51+"Ug1!Fw"</f>
        <v>#VALUE!</v>
      </c>
      <c r="AZ12" t="e">
        <f ca="1">Time!AX51+"Ug1!Fx"</f>
        <v>#VALUE!</v>
      </c>
      <c r="BA12" t="e">
        <f ca="1">Time!AY51+"Ug1!Fy"</f>
        <v>#VALUE!</v>
      </c>
      <c r="BB12" t="e">
        <f ca="1">Time!AZ51+"Ug1!Fz"</f>
        <v>#VALUE!</v>
      </c>
      <c r="BC12" t="e">
        <f ca="1">Time!BA51+"Ug1!F{"</f>
        <v>#VALUE!</v>
      </c>
      <c r="BD12" t="e">
        <f ca="1">Time!BB51+"Ug1!F|"</f>
        <v>#VALUE!</v>
      </c>
      <c r="BE12" t="e">
        <f ca="1">Time!BC51+"Ug1!F}"</f>
        <v>#VALUE!</v>
      </c>
      <c r="BF12" t="e">
        <f ca="1">Time!BD51+"Ug1!F~"</f>
        <v>#VALUE!</v>
      </c>
      <c r="BG12" t="e">
        <f ca="1">Time!BE51+"Ug1!G#"</f>
        <v>#VALUE!</v>
      </c>
      <c r="BH12" t="e">
        <f ca="1">Time!BF51+"Ug1!G$"</f>
        <v>#VALUE!</v>
      </c>
      <c r="BI12" t="e">
        <f ca="1">Time!BG51+"Ug1!G%"</f>
        <v>#VALUE!</v>
      </c>
      <c r="BJ12" t="e">
        <f ca="1">Time!BH51+"Ug1!G&amp;"</f>
        <v>#VALUE!</v>
      </c>
      <c r="BK12" t="e">
        <f ca="1">Time!BI51+"Ug1!G'"</f>
        <v>#VALUE!</v>
      </c>
      <c r="BL12" t="e">
        <f ca="1">Time!BJ51+"Ug1!G("</f>
        <v>#VALUE!</v>
      </c>
      <c r="BM12" t="e">
        <f ca="1">Time!BK51+"Ug1!G)"</f>
        <v>#VALUE!</v>
      </c>
      <c r="BN12" t="e">
        <f ca="1">Time!BL51+"Ug1!G."</f>
        <v>#VALUE!</v>
      </c>
      <c r="BO12" t="e">
        <f ca="1">Time!BM51+"Ug1!G/"</f>
        <v>#VALUE!</v>
      </c>
      <c r="BP12" t="e">
        <f ca="1">Time!BN51+"Ug1!G0"</f>
        <v>#VALUE!</v>
      </c>
      <c r="BQ12" t="e">
        <f ca="1">Time!BO51+"Ug1!G1"</f>
        <v>#VALUE!</v>
      </c>
      <c r="BR12" t="e">
        <f ca="1">Time!BP51+"Ug1!G2"</f>
        <v>#VALUE!</v>
      </c>
      <c r="BS12" t="e">
        <f ca="1">Time!BQ51+"Ug1!G3"</f>
        <v>#VALUE!</v>
      </c>
      <c r="BT12" t="e">
        <f ca="1">Time!BR51+"Ug1!G4"</f>
        <v>#VALUE!</v>
      </c>
      <c r="BU12" t="e">
        <f ca="1">Time!BS51+"Ug1!G5"</f>
        <v>#VALUE!</v>
      </c>
      <c r="BV12" t="e">
        <f ca="1">Time!BT51+"Ug1!G6"</f>
        <v>#VALUE!</v>
      </c>
      <c r="BW12" t="e">
        <f ca="1">Time!BU51+"Ug1!G7"</f>
        <v>#VALUE!</v>
      </c>
      <c r="BX12" t="e">
        <f ca="1">Time!BV51+"Ug1!G8"</f>
        <v>#VALUE!</v>
      </c>
      <c r="BY12" t="e">
        <f ca="1">Time!BW51+"Ug1!G9"</f>
        <v>#VALUE!</v>
      </c>
      <c r="BZ12" t="e">
        <f ca="1">Time!BX51+"Ug1!G:"</f>
        <v>#VALUE!</v>
      </c>
      <c r="CA12" t="e">
        <f ca="1">Time!BY51+"Ug1!G;"</f>
        <v>#VALUE!</v>
      </c>
      <c r="CB12" t="e">
        <f ca="1">Time!A52+"Ug1!G&lt;"</f>
        <v>#VALUE!</v>
      </c>
      <c r="CC12" t="e">
        <f ca="1">Time!B52+"Ug1!G="</f>
        <v>#VALUE!</v>
      </c>
      <c r="CD12" t="e">
        <f ca="1">Time!C52+"Ug1!G&gt;"</f>
        <v>#VALUE!</v>
      </c>
      <c r="CE12" t="e">
        <f ca="1">Time!D52+"Ug1!G?"</f>
        <v>#VALUE!</v>
      </c>
      <c r="CF12" t="e">
        <f ca="1">Time!E52+"Ug1!G@"</f>
        <v>#VALUE!</v>
      </c>
      <c r="CG12" t="e">
        <f ca="1">Time!F52+"Ug1!GA"</f>
        <v>#VALUE!</v>
      </c>
      <c r="CH12" t="e">
        <f ca="1">Time!G52+"Ug1!GB"</f>
        <v>#VALUE!</v>
      </c>
      <c r="CI12" t="e">
        <f ca="1">Time!H52+"Ug1!GC"</f>
        <v>#VALUE!</v>
      </c>
      <c r="CJ12" t="e">
        <f ca="1">Time!I52+"Ug1!GD"</f>
        <v>#VALUE!</v>
      </c>
      <c r="CK12" t="e">
        <f ca="1">Time!J52+"Ug1!GE"</f>
        <v>#VALUE!</v>
      </c>
      <c r="CL12" t="e">
        <f ca="1">Time!K52+"Ug1!GF"</f>
        <v>#VALUE!</v>
      </c>
      <c r="CM12" t="e">
        <f ca="1">Time!L52+"Ug1!GG"</f>
        <v>#VALUE!</v>
      </c>
      <c r="CN12" t="e">
        <f ca="1">Time!M52+"Ug1!GH"</f>
        <v>#VALUE!</v>
      </c>
      <c r="CO12" t="e">
        <f ca="1">Time!N52+"Ug1!GI"</f>
        <v>#VALUE!</v>
      </c>
      <c r="CP12" t="e">
        <f ca="1">Time!O52+"Ug1!GJ"</f>
        <v>#VALUE!</v>
      </c>
      <c r="CQ12" t="e">
        <f ca="1">Time!P52+"Ug1!GK"</f>
        <v>#VALUE!</v>
      </c>
      <c r="CR12" t="e">
        <f ca="1">Time!Q52+"Ug1!GL"</f>
        <v>#VALUE!</v>
      </c>
      <c r="CS12" t="e">
        <f ca="1">Time!R52+"Ug1!GM"</f>
        <v>#VALUE!</v>
      </c>
      <c r="CT12" t="e">
        <f ca="1">Time!S52+"Ug1!GN"</f>
        <v>#VALUE!</v>
      </c>
      <c r="CU12" t="e">
        <f ca="1">Time!T52+"Ug1!GO"</f>
        <v>#VALUE!</v>
      </c>
      <c r="CV12" t="e">
        <f ca="1">Time!U52+"Ug1!GP"</f>
        <v>#VALUE!</v>
      </c>
      <c r="CW12" t="e">
        <f ca="1">Time!V52+"Ug1!GQ"</f>
        <v>#VALUE!</v>
      </c>
      <c r="CX12" t="e">
        <f ca="1">Time!W52+"Ug1!GR"</f>
        <v>#VALUE!</v>
      </c>
      <c r="CY12" t="e">
        <f ca="1">Time!X52+"Ug1!GS"</f>
        <v>#VALUE!</v>
      </c>
      <c r="CZ12" t="e">
        <f ca="1">Time!Y52+"Ug1!GT"</f>
        <v>#VALUE!</v>
      </c>
      <c r="DA12" t="e">
        <f ca="1">Time!Z52+"Ug1!GU"</f>
        <v>#VALUE!</v>
      </c>
      <c r="DB12" t="e">
        <f ca="1">Time!AA52+"Ug1!GV"</f>
        <v>#VALUE!</v>
      </c>
      <c r="DC12" t="e">
        <f ca="1">Time!AB52+"Ug1!GW"</f>
        <v>#VALUE!</v>
      </c>
      <c r="DD12" t="e">
        <f ca="1">Time!AC52+"Ug1!GX"</f>
        <v>#VALUE!</v>
      </c>
      <c r="DE12" t="e">
        <f ca="1">Time!AD52+"Ug1!GY"</f>
        <v>#VALUE!</v>
      </c>
      <c r="DF12" t="e">
        <f ca="1">Time!AE52+"Ug1!GZ"</f>
        <v>#VALUE!</v>
      </c>
      <c r="DG12" t="e">
        <f ca="1">Time!AF52+"Ug1!G["</f>
        <v>#VALUE!</v>
      </c>
      <c r="DH12" t="e">
        <f ca="1">Time!AG52+"Ug1!G\"</f>
        <v>#VALUE!</v>
      </c>
      <c r="DI12" t="e">
        <f ca="1">Time!AH52+"Ug1!G]"</f>
        <v>#VALUE!</v>
      </c>
      <c r="DJ12" t="e">
        <f ca="1">Time!AI52+"Ug1!G^"</f>
        <v>#VALUE!</v>
      </c>
      <c r="DK12" t="e">
        <f ca="1">Time!AJ52+"Ug1!G_"</f>
        <v>#VALUE!</v>
      </c>
      <c r="DL12" t="e">
        <f ca="1">Time!AK52+"Ug1!G`"</f>
        <v>#VALUE!</v>
      </c>
      <c r="DM12" t="e">
        <f ca="1">Time!AL52+"Ug1!Ga"</f>
        <v>#VALUE!</v>
      </c>
      <c r="DN12" t="e">
        <f ca="1">Time!AM52+"Ug1!Gb"</f>
        <v>#VALUE!</v>
      </c>
      <c r="DO12" t="e">
        <f ca="1">Time!AN52+"Ug1!Gc"</f>
        <v>#VALUE!</v>
      </c>
      <c r="DP12" t="e">
        <f ca="1">Time!AO52+"Ug1!Gd"</f>
        <v>#VALUE!</v>
      </c>
      <c r="DQ12" t="e">
        <f ca="1">Time!AP52+"Ug1!Ge"</f>
        <v>#VALUE!</v>
      </c>
      <c r="DR12" t="e">
        <f ca="1">Time!AQ52+"Ug1!Gf"</f>
        <v>#VALUE!</v>
      </c>
      <c r="DS12" t="e">
        <f ca="1">Time!AR52+"Ug1!Gg"</f>
        <v>#VALUE!</v>
      </c>
      <c r="DT12" t="e">
        <f ca="1">Time!AS52+"Ug1!Gh"</f>
        <v>#VALUE!</v>
      </c>
      <c r="DU12" t="e">
        <f ca="1">Time!AT52+"Ug1!Gi"</f>
        <v>#VALUE!</v>
      </c>
      <c r="DV12" t="e">
        <f ca="1">Time!AU52+"Ug1!Gj"</f>
        <v>#VALUE!</v>
      </c>
      <c r="DW12" t="e">
        <f ca="1">Time!AV52+"Ug1!Gk"</f>
        <v>#VALUE!</v>
      </c>
      <c r="DX12" t="e">
        <f ca="1">Time!AW52+"Ug1!Gl"</f>
        <v>#VALUE!</v>
      </c>
      <c r="DY12" t="e">
        <f ca="1">Time!AX52+"Ug1!Gm"</f>
        <v>#VALUE!</v>
      </c>
      <c r="DZ12" t="e">
        <f ca="1">Time!AY52+"Ug1!Gn"</f>
        <v>#VALUE!</v>
      </c>
      <c r="EA12" t="e">
        <f ca="1">Time!AZ52+"Ug1!Go"</f>
        <v>#VALUE!</v>
      </c>
      <c r="EB12" t="e">
        <f ca="1">Time!BA52+"Ug1!Gp"</f>
        <v>#VALUE!</v>
      </c>
      <c r="EC12" t="e">
        <f ca="1">Time!BB52+"Ug1!Gq"</f>
        <v>#VALUE!</v>
      </c>
      <c r="ED12" t="e">
        <f ca="1">Time!BC52+"Ug1!Gr"</f>
        <v>#VALUE!</v>
      </c>
      <c r="EE12" t="e">
        <f ca="1">Time!BD52+"Ug1!Gs"</f>
        <v>#VALUE!</v>
      </c>
      <c r="EF12" t="e">
        <f ca="1">Time!BE52+"Ug1!Gt"</f>
        <v>#VALUE!</v>
      </c>
      <c r="EG12" t="e">
        <f ca="1">Time!BF52+"Ug1!Gu"</f>
        <v>#VALUE!</v>
      </c>
      <c r="EH12" t="e">
        <f ca="1">Time!BG52+"Ug1!Gv"</f>
        <v>#VALUE!</v>
      </c>
      <c r="EI12" t="e">
        <f ca="1">Time!BH52+"Ug1!Gw"</f>
        <v>#VALUE!</v>
      </c>
      <c r="EJ12" t="e">
        <f ca="1">Time!BI52+"Ug1!Gx"</f>
        <v>#VALUE!</v>
      </c>
      <c r="EK12" t="e">
        <f ca="1">Time!BJ52+"Ug1!Gy"</f>
        <v>#VALUE!</v>
      </c>
      <c r="EL12" t="e">
        <f ca="1">Time!BK52+"Ug1!Gz"</f>
        <v>#VALUE!</v>
      </c>
      <c r="EM12" t="e">
        <f ca="1">Time!BL52+"Ug1!G{"</f>
        <v>#VALUE!</v>
      </c>
      <c r="EN12" t="e">
        <f ca="1">Time!BM52+"Ug1!G|"</f>
        <v>#VALUE!</v>
      </c>
      <c r="EO12" t="e">
        <f ca="1">Time!BN52+"Ug1!G}"</f>
        <v>#VALUE!</v>
      </c>
      <c r="EP12" t="e">
        <f ca="1">Time!BO52+"Ug1!G~"</f>
        <v>#VALUE!</v>
      </c>
      <c r="EQ12" t="e">
        <f ca="1">Time!BP52+"Ug1!H#"</f>
        <v>#VALUE!</v>
      </c>
      <c r="ER12" t="e">
        <f ca="1">Time!BQ52+"Ug1!H$"</f>
        <v>#VALUE!</v>
      </c>
      <c r="ES12" t="e">
        <f ca="1">Time!BR52+"Ug1!H%"</f>
        <v>#VALUE!</v>
      </c>
      <c r="ET12" t="e">
        <f ca="1">Time!BS52+"Ug1!H&amp;"</f>
        <v>#VALUE!</v>
      </c>
      <c r="EU12" t="e">
        <f ca="1">Time!BT52+"Ug1!H'"</f>
        <v>#VALUE!</v>
      </c>
      <c r="EV12" t="e">
        <f ca="1">Time!BU52+"Ug1!H("</f>
        <v>#VALUE!</v>
      </c>
      <c r="EW12" t="e">
        <f ca="1">Time!BV52+"Ug1!H)"</f>
        <v>#VALUE!</v>
      </c>
      <c r="EX12" t="e">
        <f ca="1">Time!BW52+"Ug1!H."</f>
        <v>#VALUE!</v>
      </c>
      <c r="EY12" t="e">
        <f ca="1">Time!BX52+"Ug1!H/"</f>
        <v>#VALUE!</v>
      </c>
      <c r="EZ12" t="e">
        <f ca="1">Time!BY52+"Ug1!H0"</f>
        <v>#VALUE!</v>
      </c>
      <c r="FA12" t="e">
        <f ca="1">Time!A53+"Ug1!H1"</f>
        <v>#VALUE!</v>
      </c>
      <c r="FB12" t="e">
        <f ca="1">Time!B53+"Ug1!H2"</f>
        <v>#VALUE!</v>
      </c>
      <c r="FC12" t="e">
        <f ca="1">Time!C53+"Ug1!H3"</f>
        <v>#VALUE!</v>
      </c>
      <c r="FD12" t="e">
        <f ca="1">Time!D53+"Ug1!H4"</f>
        <v>#VALUE!</v>
      </c>
      <c r="FE12" t="e">
        <f ca="1">Time!E53+"Ug1!H5"</f>
        <v>#VALUE!</v>
      </c>
      <c r="FF12" t="e">
        <f ca="1">Time!F53+"Ug1!H6"</f>
        <v>#VALUE!</v>
      </c>
      <c r="FG12" t="e">
        <f ca="1">Time!G53+"Ug1!H7"</f>
        <v>#VALUE!</v>
      </c>
      <c r="FH12" t="e">
        <f ca="1">Time!H53+"Ug1!H8"</f>
        <v>#VALUE!</v>
      </c>
      <c r="FI12" t="e">
        <f ca="1">Time!I53+"Ug1!H9"</f>
        <v>#VALUE!</v>
      </c>
      <c r="FJ12" t="e">
        <f ca="1">Time!J53+"Ug1!H:"</f>
        <v>#VALUE!</v>
      </c>
      <c r="FK12" t="e">
        <f ca="1">Time!K53+"Ug1!H;"</f>
        <v>#VALUE!</v>
      </c>
      <c r="FL12" t="e">
        <f ca="1">Time!L53+"Ug1!H&lt;"</f>
        <v>#VALUE!</v>
      </c>
      <c r="FM12" t="e">
        <f ca="1">Time!M53+"Ug1!H="</f>
        <v>#VALUE!</v>
      </c>
      <c r="FN12" t="e">
        <f ca="1">Time!N53+"Ug1!H&gt;"</f>
        <v>#VALUE!</v>
      </c>
      <c r="FO12" t="e">
        <f ca="1">Time!O53+"Ug1!H?"</f>
        <v>#VALUE!</v>
      </c>
      <c r="FP12" t="e">
        <f ca="1">Time!P53+"Ug1!H@"</f>
        <v>#VALUE!</v>
      </c>
      <c r="FQ12" t="e">
        <f ca="1">Time!Q53+"Ug1!HA"</f>
        <v>#VALUE!</v>
      </c>
      <c r="FR12" t="e">
        <f ca="1">Time!R53+"Ug1!HB"</f>
        <v>#VALUE!</v>
      </c>
      <c r="FS12" t="e">
        <f ca="1">Time!S53+"Ug1!HC"</f>
        <v>#VALUE!</v>
      </c>
      <c r="FT12" t="e">
        <f ca="1">Time!T53+"Ug1!HD"</f>
        <v>#VALUE!</v>
      </c>
      <c r="FU12" t="e">
        <f ca="1">Time!U53+"Ug1!HE"</f>
        <v>#VALUE!</v>
      </c>
      <c r="FV12" t="e">
        <f ca="1">Time!V53+"Ug1!HF"</f>
        <v>#VALUE!</v>
      </c>
      <c r="FW12" t="e">
        <f ca="1">Time!W53+"Ug1!HG"</f>
        <v>#VALUE!</v>
      </c>
      <c r="FX12" t="e">
        <f ca="1">Time!X53+"Ug1!HH"</f>
        <v>#VALUE!</v>
      </c>
      <c r="FY12" t="e">
        <f ca="1">Time!Y53+"Ug1!HI"</f>
        <v>#VALUE!</v>
      </c>
      <c r="FZ12" t="e">
        <f ca="1">Time!Z53+"Ug1!HJ"</f>
        <v>#VALUE!</v>
      </c>
      <c r="GA12" t="e">
        <f ca="1">Time!AA53+"Ug1!HK"</f>
        <v>#VALUE!</v>
      </c>
      <c r="GB12" t="e">
        <f ca="1">Time!AB53+"Ug1!HL"</f>
        <v>#VALUE!</v>
      </c>
      <c r="GC12" t="e">
        <f ca="1">Time!AC53+"Ug1!HM"</f>
        <v>#VALUE!</v>
      </c>
      <c r="GD12" t="e">
        <f ca="1">Time!AD53+"Ug1!HN"</f>
        <v>#VALUE!</v>
      </c>
      <c r="GE12" t="e">
        <f ca="1">Time!AE53+"Ug1!HO"</f>
        <v>#VALUE!</v>
      </c>
      <c r="GF12" t="e">
        <f ca="1">Time!AF53+"Ug1!HP"</f>
        <v>#VALUE!</v>
      </c>
      <c r="GG12" t="e">
        <f ca="1">Time!AG53+"Ug1!HQ"</f>
        <v>#VALUE!</v>
      </c>
      <c r="GH12" t="e">
        <f ca="1">Time!AH53+"Ug1!HR"</f>
        <v>#VALUE!</v>
      </c>
      <c r="GI12" t="e">
        <f ca="1">Time!AI53+"Ug1!HS"</f>
        <v>#VALUE!</v>
      </c>
      <c r="GJ12" t="e">
        <f ca="1">Time!AJ53+"Ug1!HT"</f>
        <v>#VALUE!</v>
      </c>
      <c r="GK12" t="e">
        <f ca="1">Time!AK53+"Ug1!HU"</f>
        <v>#VALUE!</v>
      </c>
      <c r="GL12" t="e">
        <f ca="1">Time!AL53+"Ug1!HV"</f>
        <v>#VALUE!</v>
      </c>
      <c r="GM12" t="e">
        <f ca="1">Time!AM53+"Ug1!HW"</f>
        <v>#VALUE!</v>
      </c>
      <c r="GN12" t="e">
        <f ca="1">Time!AN53+"Ug1!HX"</f>
        <v>#VALUE!</v>
      </c>
      <c r="GO12" t="e">
        <f ca="1">Time!AO53+"Ug1!HY"</f>
        <v>#VALUE!</v>
      </c>
      <c r="GP12" t="e">
        <f ca="1">Time!AP53+"Ug1!HZ"</f>
        <v>#VALUE!</v>
      </c>
      <c r="GQ12" t="e">
        <f ca="1">Time!AQ53+"Ug1!H["</f>
        <v>#VALUE!</v>
      </c>
      <c r="GR12" t="e">
        <f ca="1">Time!AR53+"Ug1!H\"</f>
        <v>#VALUE!</v>
      </c>
      <c r="GS12" t="e">
        <f ca="1">Time!AS53+"Ug1!H]"</f>
        <v>#VALUE!</v>
      </c>
      <c r="GT12" t="e">
        <f ca="1">Time!AT53+"Ug1!H^"</f>
        <v>#VALUE!</v>
      </c>
      <c r="GU12" t="e">
        <f ca="1">Time!AU53+"Ug1!H_"</f>
        <v>#VALUE!</v>
      </c>
      <c r="GV12" t="e">
        <f ca="1">Time!AV53+"Ug1!H`"</f>
        <v>#VALUE!</v>
      </c>
      <c r="GW12" t="e">
        <f ca="1">Time!AW53+"Ug1!Ha"</f>
        <v>#VALUE!</v>
      </c>
      <c r="GX12" t="e">
        <f ca="1">Time!AX53+"Ug1!Hb"</f>
        <v>#VALUE!</v>
      </c>
      <c r="GY12" t="e">
        <f ca="1">Time!AY53+"Ug1!Hc"</f>
        <v>#VALUE!</v>
      </c>
      <c r="GZ12" t="e">
        <f ca="1">Time!AZ53+"Ug1!Hd"</f>
        <v>#VALUE!</v>
      </c>
      <c r="HA12" t="e">
        <f ca="1">Time!BA53+"Ug1!He"</f>
        <v>#VALUE!</v>
      </c>
      <c r="HB12" t="e">
        <f ca="1">Time!BB53+"Ug1!Hf"</f>
        <v>#VALUE!</v>
      </c>
      <c r="HC12" t="e">
        <f ca="1">Time!BC53+"Ug1!Hg"</f>
        <v>#VALUE!</v>
      </c>
      <c r="HD12" t="e">
        <f ca="1">Time!BD53+"Ug1!Hh"</f>
        <v>#VALUE!</v>
      </c>
      <c r="HE12" t="e">
        <f ca="1">Time!BE53+"Ug1!Hi"</f>
        <v>#VALUE!</v>
      </c>
      <c r="HF12" t="e">
        <f ca="1">Time!BF53+"Ug1!Hj"</f>
        <v>#VALUE!</v>
      </c>
      <c r="HG12" t="e">
        <f ca="1">Time!BG53+"Ug1!Hk"</f>
        <v>#VALUE!</v>
      </c>
      <c r="HH12" t="e">
        <f ca="1">Time!BH53+"Ug1!Hl"</f>
        <v>#VALUE!</v>
      </c>
      <c r="HI12" t="e">
        <f ca="1">Time!BI53+"Ug1!Hm"</f>
        <v>#VALUE!</v>
      </c>
      <c r="HJ12" t="e">
        <f ca="1">Time!BJ53+"Ug1!Hn"</f>
        <v>#VALUE!</v>
      </c>
      <c r="HK12" t="e">
        <f ca="1">Time!BK53+"Ug1!Ho"</f>
        <v>#VALUE!</v>
      </c>
      <c r="HL12" t="e">
        <f ca="1">Time!BL53+"Ug1!Hp"</f>
        <v>#VALUE!</v>
      </c>
      <c r="HM12" t="e">
        <f ca="1">Time!BM53+"Ug1!Hq"</f>
        <v>#VALUE!</v>
      </c>
      <c r="HN12" t="e">
        <f ca="1">Time!BN53+"Ug1!Hr"</f>
        <v>#VALUE!</v>
      </c>
      <c r="HO12" t="e">
        <f ca="1">Time!BO53+"Ug1!Hs"</f>
        <v>#VALUE!</v>
      </c>
      <c r="HP12" t="e">
        <f ca="1">Time!BP53+"Ug1!Ht"</f>
        <v>#VALUE!</v>
      </c>
      <c r="HQ12" t="e">
        <f ca="1">Time!BQ53+"Ug1!Hu"</f>
        <v>#VALUE!</v>
      </c>
      <c r="HR12" t="e">
        <f ca="1">Time!BR53+"Ug1!Hv"</f>
        <v>#VALUE!</v>
      </c>
      <c r="HS12" t="e">
        <f ca="1">Time!BS53+"Ug1!Hw"</f>
        <v>#VALUE!</v>
      </c>
      <c r="HT12" t="e">
        <f ca="1">Time!BT53+"Ug1!Hx"</f>
        <v>#VALUE!</v>
      </c>
      <c r="HU12" t="e">
        <f ca="1">Time!BU53+"Ug1!Hy"</f>
        <v>#VALUE!</v>
      </c>
      <c r="HV12" t="e">
        <f ca="1">Time!BV53+"Ug1!Hz"</f>
        <v>#VALUE!</v>
      </c>
      <c r="HW12" t="e">
        <f ca="1">Time!BW53+"Ug1!H{"</f>
        <v>#VALUE!</v>
      </c>
      <c r="HX12" t="e">
        <f ca="1">Time!BX53+"Ug1!H|"</f>
        <v>#VALUE!</v>
      </c>
      <c r="HY12" t="e">
        <f ca="1">Time!BY53+"Ug1!H}"</f>
        <v>#VALUE!</v>
      </c>
      <c r="HZ12" t="e">
        <f ca="1">Time!A54+"Ug1!H~"</f>
        <v>#VALUE!</v>
      </c>
      <c r="IA12" t="e">
        <f ca="1">Time!B54+"Ug1!I#"</f>
        <v>#VALUE!</v>
      </c>
      <c r="IB12" t="e">
        <f ca="1">Time!C54+"Ug1!I$"</f>
        <v>#VALUE!</v>
      </c>
      <c r="IC12" t="e">
        <f ca="1">Time!D54+"Ug1!I%"</f>
        <v>#VALUE!</v>
      </c>
      <c r="ID12" t="e">
        <f ca="1">Time!E54+"Ug1!I&amp;"</f>
        <v>#VALUE!</v>
      </c>
      <c r="IE12" t="e">
        <f ca="1">Time!F54+"Ug1!I'"</f>
        <v>#VALUE!</v>
      </c>
      <c r="IF12" t="e">
        <f ca="1">Time!G54+"Ug1!I("</f>
        <v>#VALUE!</v>
      </c>
      <c r="IG12" t="e">
        <f ca="1">Time!H54+"Ug1!I)"</f>
        <v>#VALUE!</v>
      </c>
      <c r="IH12" t="e">
        <f ca="1">Time!I54+"Ug1!I."</f>
        <v>#VALUE!</v>
      </c>
      <c r="II12" t="e">
        <f ca="1">Time!J54+"Ug1!I/"</f>
        <v>#VALUE!</v>
      </c>
      <c r="IJ12" t="e">
        <f ca="1">Time!K54+"Ug1!I0"</f>
        <v>#VALUE!</v>
      </c>
      <c r="IK12" t="e">
        <f ca="1">Time!L54+"Ug1!I1"</f>
        <v>#VALUE!</v>
      </c>
      <c r="IL12" t="e">
        <f ca="1">Time!M54+"Ug1!I2"</f>
        <v>#VALUE!</v>
      </c>
      <c r="IM12" t="e">
        <f ca="1">Time!N54+"Ug1!I3"</f>
        <v>#VALUE!</v>
      </c>
      <c r="IN12" t="e">
        <f ca="1">Time!O54+"Ug1!I4"</f>
        <v>#VALUE!</v>
      </c>
      <c r="IO12" t="e">
        <f ca="1">Time!P54+"Ug1!I5"</f>
        <v>#VALUE!</v>
      </c>
      <c r="IP12" t="e">
        <f ca="1">Time!Q54+"Ug1!I6"</f>
        <v>#VALUE!</v>
      </c>
      <c r="IQ12" t="e">
        <f ca="1">Time!R54+"Ug1!I7"</f>
        <v>#VALUE!</v>
      </c>
      <c r="IR12" t="e">
        <f ca="1">Time!S54+"Ug1!I8"</f>
        <v>#VALUE!</v>
      </c>
      <c r="IS12" t="e">
        <f ca="1">Time!T54+"Ug1!I9"</f>
        <v>#VALUE!</v>
      </c>
      <c r="IT12" t="e">
        <f ca="1">Time!U54+"Ug1!I:"</f>
        <v>#VALUE!</v>
      </c>
      <c r="IU12" t="e">
        <f ca="1">Time!V54+"Ug1!I;"</f>
        <v>#VALUE!</v>
      </c>
      <c r="IV12" t="e">
        <f ca="1">Time!W54+"Ug1!I&lt;"</f>
        <v>#VALUE!</v>
      </c>
    </row>
    <row r="13" spans="1:256" x14ac:dyDescent="0.2">
      <c r="F13" t="e">
        <f ca="1">Time!X54+"Ug1!I="</f>
        <v>#VALUE!</v>
      </c>
      <c r="G13" t="e">
        <f ca="1">Time!Y54+"Ug1!I&gt;"</f>
        <v>#VALUE!</v>
      </c>
      <c r="H13" t="e">
        <f ca="1">Time!Z54+"Ug1!I?"</f>
        <v>#VALUE!</v>
      </c>
      <c r="I13" t="e">
        <f ca="1">Time!AA54+"Ug1!I@"</f>
        <v>#VALUE!</v>
      </c>
      <c r="J13" t="e">
        <f ca="1">Time!AB54+"Ug1!IA"</f>
        <v>#VALUE!</v>
      </c>
      <c r="K13" t="e">
        <f ca="1">Time!AC54+"Ug1!IB"</f>
        <v>#VALUE!</v>
      </c>
      <c r="L13" t="e">
        <f ca="1">Time!AD54+"Ug1!IC"</f>
        <v>#VALUE!</v>
      </c>
      <c r="M13" t="e">
        <f ca="1">Time!AE54+"Ug1!ID"</f>
        <v>#VALUE!</v>
      </c>
      <c r="N13" t="e">
        <f ca="1">Time!AF54+"Ug1!IE"</f>
        <v>#VALUE!</v>
      </c>
      <c r="O13" t="e">
        <f ca="1">Time!AG54+"Ug1!IF"</f>
        <v>#VALUE!</v>
      </c>
      <c r="P13" t="e">
        <f ca="1">Time!AH54+"Ug1!IG"</f>
        <v>#VALUE!</v>
      </c>
      <c r="Q13" t="e">
        <f ca="1">Time!AI54+"Ug1!IH"</f>
        <v>#VALUE!</v>
      </c>
      <c r="R13" t="e">
        <f ca="1">Time!AJ54+"Ug1!II"</f>
        <v>#VALUE!</v>
      </c>
      <c r="S13" t="e">
        <f ca="1">Time!AK54+"Ug1!IJ"</f>
        <v>#VALUE!</v>
      </c>
      <c r="T13" t="e">
        <f ca="1">Time!AL54+"Ug1!IK"</f>
        <v>#VALUE!</v>
      </c>
      <c r="U13" t="e">
        <f ca="1">Time!AM54+"Ug1!IL"</f>
        <v>#VALUE!</v>
      </c>
      <c r="V13" t="e">
        <f ca="1">Time!AN54+"Ug1!IM"</f>
        <v>#VALUE!</v>
      </c>
      <c r="W13" t="e">
        <f ca="1">Time!AO54+"Ug1!IN"</f>
        <v>#VALUE!</v>
      </c>
      <c r="X13" t="e">
        <f ca="1">Time!AP54+"Ug1!IO"</f>
        <v>#VALUE!</v>
      </c>
      <c r="Y13" t="e">
        <f ca="1">Time!AQ54+"Ug1!IP"</f>
        <v>#VALUE!</v>
      </c>
      <c r="Z13" t="e">
        <f ca="1">Time!AR54+"Ug1!IQ"</f>
        <v>#VALUE!</v>
      </c>
      <c r="AA13" t="e">
        <f ca="1">Time!AS54+"Ug1!IR"</f>
        <v>#VALUE!</v>
      </c>
      <c r="AB13" t="e">
        <f ca="1">Time!AT54+"Ug1!IS"</f>
        <v>#VALUE!</v>
      </c>
      <c r="AC13" t="e">
        <f ca="1">Time!AU54+"Ug1!IT"</f>
        <v>#VALUE!</v>
      </c>
      <c r="AD13" t="e">
        <f ca="1">Time!AV54+"Ug1!IU"</f>
        <v>#VALUE!</v>
      </c>
      <c r="AE13" t="e">
        <f ca="1">Time!AW54+"Ug1!IV"</f>
        <v>#VALUE!</v>
      </c>
      <c r="AF13" t="e">
        <f ca="1">Time!AX54+"Ug1!IW"</f>
        <v>#VALUE!</v>
      </c>
      <c r="AG13" t="e">
        <f ca="1">Time!AY54+"Ug1!IX"</f>
        <v>#VALUE!</v>
      </c>
      <c r="AH13" t="e">
        <f ca="1">Time!AZ54+"Ug1!IY"</f>
        <v>#VALUE!</v>
      </c>
      <c r="AI13" t="e">
        <f ca="1">Time!BA54+"Ug1!IZ"</f>
        <v>#VALUE!</v>
      </c>
      <c r="AJ13" t="e">
        <f ca="1">Time!BB54+"Ug1!I["</f>
        <v>#VALUE!</v>
      </c>
      <c r="AK13" t="e">
        <f ca="1">Time!BC54+"Ug1!I\"</f>
        <v>#VALUE!</v>
      </c>
      <c r="AL13" t="e">
        <f ca="1">Time!BD54+"Ug1!I]"</f>
        <v>#VALUE!</v>
      </c>
      <c r="AM13" t="e">
        <f ca="1">Time!BE54+"Ug1!I^"</f>
        <v>#VALUE!</v>
      </c>
      <c r="AN13" t="e">
        <f ca="1">Time!BF54+"Ug1!I_"</f>
        <v>#VALUE!</v>
      </c>
      <c r="AO13" t="e">
        <f ca="1">Time!BG54+"Ug1!I`"</f>
        <v>#VALUE!</v>
      </c>
      <c r="AP13" t="e">
        <f ca="1">Time!BH54+"Ug1!Ia"</f>
        <v>#VALUE!</v>
      </c>
      <c r="AQ13" t="e">
        <f ca="1">Time!BI54+"Ug1!Ib"</f>
        <v>#VALUE!</v>
      </c>
      <c r="AR13" t="e">
        <f ca="1">Time!BJ54+"Ug1!Ic"</f>
        <v>#VALUE!</v>
      </c>
      <c r="AS13" t="e">
        <f ca="1">Time!BK54+"Ug1!Id"</f>
        <v>#VALUE!</v>
      </c>
      <c r="AT13" t="e">
        <f ca="1">Time!BL54+"Ug1!Ie"</f>
        <v>#VALUE!</v>
      </c>
      <c r="AU13" t="e">
        <f ca="1">Time!BM54+"Ug1!If"</f>
        <v>#VALUE!</v>
      </c>
      <c r="AV13" t="e">
        <f ca="1">Time!BN54+"Ug1!Ig"</f>
        <v>#VALUE!</v>
      </c>
      <c r="AW13" t="e">
        <f ca="1">Time!BO54+"Ug1!Ih"</f>
        <v>#VALUE!</v>
      </c>
      <c r="AX13" t="e">
        <f ca="1">Time!BP54+"Ug1!Ii"</f>
        <v>#VALUE!</v>
      </c>
      <c r="AY13" t="e">
        <f ca="1">Time!BQ54+"Ug1!Ij"</f>
        <v>#VALUE!</v>
      </c>
      <c r="AZ13" t="e">
        <f ca="1">Time!BR54+"Ug1!Ik"</f>
        <v>#VALUE!</v>
      </c>
      <c r="BA13" t="e">
        <f ca="1">Time!BS54+"Ug1!Il"</f>
        <v>#VALUE!</v>
      </c>
      <c r="BB13" t="e">
        <f ca="1">Time!BT54+"Ug1!Im"</f>
        <v>#VALUE!</v>
      </c>
      <c r="BC13" t="e">
        <f ca="1">Time!BU54+"Ug1!In"</f>
        <v>#VALUE!</v>
      </c>
      <c r="BD13" t="e">
        <f ca="1">Time!BV54+"Ug1!Io"</f>
        <v>#VALUE!</v>
      </c>
      <c r="BE13" t="e">
        <f ca="1">Time!BW54+"Ug1!Ip"</f>
        <v>#VALUE!</v>
      </c>
      <c r="BF13" t="e">
        <f ca="1">Time!BX54+"Ug1!Iq"</f>
        <v>#VALUE!</v>
      </c>
      <c r="BG13" t="e">
        <f ca="1">Time!BY54+"Ug1!Ir"</f>
        <v>#VALUE!</v>
      </c>
      <c r="BH13" t="e">
        <f ca="1">Time!A55+"Ug1!Is"</f>
        <v>#VALUE!</v>
      </c>
      <c r="BI13" t="e">
        <f ca="1">Time!B55+"Ug1!It"</f>
        <v>#VALUE!</v>
      </c>
      <c r="BJ13" t="e">
        <f ca="1">Time!C55+"Ug1!Iu"</f>
        <v>#VALUE!</v>
      </c>
      <c r="BK13" t="e">
        <f ca="1">Time!D55+"Ug1!Iv"</f>
        <v>#VALUE!</v>
      </c>
      <c r="BL13" t="e">
        <f ca="1">Time!E55+"Ug1!Iw"</f>
        <v>#VALUE!</v>
      </c>
      <c r="BM13" t="e">
        <f ca="1">Time!F55+"Ug1!Ix"</f>
        <v>#VALUE!</v>
      </c>
      <c r="BN13" t="e">
        <f ca="1">Time!G55+"Ug1!Iy"</f>
        <v>#VALUE!</v>
      </c>
      <c r="BO13" t="e">
        <f ca="1">Time!H55+"Ug1!Iz"</f>
        <v>#VALUE!</v>
      </c>
      <c r="BP13" t="e">
        <f ca="1">Time!I55+"Ug1!I{"</f>
        <v>#VALUE!</v>
      </c>
      <c r="BQ13" t="e">
        <f ca="1">Time!J55+"Ug1!I|"</f>
        <v>#VALUE!</v>
      </c>
      <c r="BR13" t="e">
        <f ca="1">Time!K55+"Ug1!I}"</f>
        <v>#VALUE!</v>
      </c>
      <c r="BS13" t="e">
        <f ca="1">Time!L55+"Ug1!I~"</f>
        <v>#VALUE!</v>
      </c>
      <c r="BT13" t="e">
        <f ca="1">Time!M55+"Ug1!J#"</f>
        <v>#VALUE!</v>
      </c>
      <c r="BU13" t="e">
        <f ca="1">Time!N55+"Ug1!J$"</f>
        <v>#VALUE!</v>
      </c>
      <c r="BV13" t="e">
        <f ca="1">Time!O55+"Ug1!J%"</f>
        <v>#VALUE!</v>
      </c>
      <c r="BW13" t="e">
        <f ca="1">Time!P55+"Ug1!J&amp;"</f>
        <v>#VALUE!</v>
      </c>
      <c r="BX13" t="e">
        <f ca="1">Time!Q55+"Ug1!J'"</f>
        <v>#VALUE!</v>
      </c>
      <c r="BY13" t="e">
        <f ca="1">Time!R55+"Ug1!J("</f>
        <v>#VALUE!</v>
      </c>
      <c r="BZ13" t="e">
        <f ca="1">Time!S55+"Ug1!J)"</f>
        <v>#VALUE!</v>
      </c>
      <c r="CA13" t="e">
        <f ca="1">Time!T55+"Ug1!J."</f>
        <v>#VALUE!</v>
      </c>
      <c r="CB13" t="e">
        <f ca="1">Time!U55+"Ug1!J/"</f>
        <v>#VALUE!</v>
      </c>
      <c r="CC13" t="e">
        <f ca="1">Time!V55+"Ug1!J0"</f>
        <v>#VALUE!</v>
      </c>
      <c r="CD13" t="e">
        <f ca="1">Time!W55+"Ug1!J1"</f>
        <v>#VALUE!</v>
      </c>
      <c r="CE13" t="e">
        <f ca="1">Time!X55+"Ug1!J2"</f>
        <v>#VALUE!</v>
      </c>
      <c r="CF13" t="e">
        <f ca="1">Time!Y55+"Ug1!J3"</f>
        <v>#VALUE!</v>
      </c>
      <c r="CG13" t="e">
        <f ca="1">Time!Z55+"Ug1!J4"</f>
        <v>#VALUE!</v>
      </c>
      <c r="CH13" t="e">
        <f ca="1">Time!AA55+"Ug1!J5"</f>
        <v>#VALUE!</v>
      </c>
      <c r="CI13" t="e">
        <f ca="1">Time!AB55+"Ug1!J6"</f>
        <v>#VALUE!</v>
      </c>
      <c r="CJ13" t="e">
        <f ca="1">Time!AC55+"Ug1!J7"</f>
        <v>#VALUE!</v>
      </c>
      <c r="CK13" t="e">
        <f ca="1">Time!AD55+"Ug1!J8"</f>
        <v>#VALUE!</v>
      </c>
      <c r="CL13" t="e">
        <f ca="1">Time!AE55+"Ug1!J9"</f>
        <v>#VALUE!</v>
      </c>
      <c r="CM13" t="e">
        <f ca="1">Time!AF55+"Ug1!J:"</f>
        <v>#VALUE!</v>
      </c>
      <c r="CN13" t="e">
        <f ca="1">Time!AG55+"Ug1!J;"</f>
        <v>#VALUE!</v>
      </c>
      <c r="CO13" t="e">
        <f ca="1">Time!AH55+"Ug1!J&lt;"</f>
        <v>#VALUE!</v>
      </c>
      <c r="CP13" t="e">
        <f ca="1">Time!AI55+"Ug1!J="</f>
        <v>#VALUE!</v>
      </c>
      <c r="CQ13" t="e">
        <f ca="1">Time!AJ55+"Ug1!J&gt;"</f>
        <v>#VALUE!</v>
      </c>
      <c r="CR13" t="e">
        <f ca="1">Time!AK55+"Ug1!J?"</f>
        <v>#VALUE!</v>
      </c>
      <c r="CS13" t="e">
        <f ca="1">Time!AL55+"Ug1!J@"</f>
        <v>#VALUE!</v>
      </c>
      <c r="CT13" t="e">
        <f ca="1">Time!AM55+"Ug1!JA"</f>
        <v>#VALUE!</v>
      </c>
      <c r="CU13" t="e">
        <f ca="1">Time!AN55+"Ug1!JB"</f>
        <v>#VALUE!</v>
      </c>
      <c r="CV13" t="e">
        <f ca="1">Time!AO55+"Ug1!JC"</f>
        <v>#VALUE!</v>
      </c>
      <c r="CW13" t="e">
        <f ca="1">Time!AP55+"Ug1!JD"</f>
        <v>#VALUE!</v>
      </c>
      <c r="CX13" t="e">
        <f ca="1">Time!AQ55+"Ug1!JE"</f>
        <v>#VALUE!</v>
      </c>
      <c r="CY13" t="e">
        <f ca="1">Time!AR55+"Ug1!JF"</f>
        <v>#VALUE!</v>
      </c>
      <c r="CZ13" t="e">
        <f ca="1">Time!AS55+"Ug1!JG"</f>
        <v>#VALUE!</v>
      </c>
      <c r="DA13" t="e">
        <f ca="1">Time!AT55+"Ug1!JH"</f>
        <v>#VALUE!</v>
      </c>
      <c r="DB13" t="e">
        <f ca="1">Time!AU55+"Ug1!JI"</f>
        <v>#VALUE!</v>
      </c>
      <c r="DC13" t="e">
        <f ca="1">Time!AV55+"Ug1!JJ"</f>
        <v>#VALUE!</v>
      </c>
      <c r="DD13" t="e">
        <f ca="1">Time!AW55+"Ug1!JK"</f>
        <v>#VALUE!</v>
      </c>
      <c r="DE13" t="e">
        <f ca="1">Time!AX55+"Ug1!JL"</f>
        <v>#VALUE!</v>
      </c>
      <c r="DF13" t="e">
        <f ca="1">Time!AY55+"Ug1!JM"</f>
        <v>#VALUE!</v>
      </c>
      <c r="DG13" t="e">
        <f ca="1">Time!AZ55+"Ug1!JN"</f>
        <v>#VALUE!</v>
      </c>
      <c r="DH13" t="e">
        <f ca="1">Time!BA55+"Ug1!JO"</f>
        <v>#VALUE!</v>
      </c>
      <c r="DI13" t="e">
        <f ca="1">Time!BB55+"Ug1!JP"</f>
        <v>#VALUE!</v>
      </c>
      <c r="DJ13" t="e">
        <f ca="1">Time!BC55+"Ug1!JQ"</f>
        <v>#VALUE!</v>
      </c>
      <c r="DK13" t="e">
        <f ca="1">Time!BD55+"Ug1!JR"</f>
        <v>#VALUE!</v>
      </c>
      <c r="DL13" t="e">
        <f ca="1">Time!BE55+"Ug1!JS"</f>
        <v>#VALUE!</v>
      </c>
      <c r="DM13" t="e">
        <f ca="1">Time!BF55+"Ug1!JT"</f>
        <v>#VALUE!</v>
      </c>
      <c r="DN13" t="e">
        <f ca="1">Time!BG55+"Ug1!JU"</f>
        <v>#VALUE!</v>
      </c>
      <c r="DO13" t="e">
        <f ca="1">Time!BH55+"Ug1!JV"</f>
        <v>#VALUE!</v>
      </c>
      <c r="DP13" t="e">
        <f ca="1">Time!BI55+"Ug1!JW"</f>
        <v>#VALUE!</v>
      </c>
      <c r="DQ13" t="e">
        <f ca="1">Time!BJ55+"Ug1!JX"</f>
        <v>#VALUE!</v>
      </c>
      <c r="DR13" t="e">
        <f ca="1">Time!BK55+"Ug1!JY"</f>
        <v>#VALUE!</v>
      </c>
      <c r="DS13" t="e">
        <f ca="1">Time!BL55+"Ug1!JZ"</f>
        <v>#VALUE!</v>
      </c>
      <c r="DT13" t="e">
        <f ca="1">Time!BM55+"Ug1!J["</f>
        <v>#VALUE!</v>
      </c>
      <c r="DU13" t="e">
        <f ca="1">Time!BN55+"Ug1!J\"</f>
        <v>#VALUE!</v>
      </c>
      <c r="DV13" t="e">
        <f ca="1">Time!BO55+"Ug1!J]"</f>
        <v>#VALUE!</v>
      </c>
      <c r="DW13" t="e">
        <f ca="1">Time!BP55+"Ug1!J^"</f>
        <v>#VALUE!</v>
      </c>
      <c r="DX13" t="e">
        <f ca="1">Time!BQ55+"Ug1!J_"</f>
        <v>#VALUE!</v>
      </c>
      <c r="DY13" t="e">
        <f ca="1">Time!BR55+"Ug1!J`"</f>
        <v>#VALUE!</v>
      </c>
      <c r="DZ13" t="e">
        <f ca="1">Time!BS55+"Ug1!Ja"</f>
        <v>#VALUE!</v>
      </c>
      <c r="EA13" t="e">
        <f ca="1">Time!BT55+"Ug1!Jb"</f>
        <v>#VALUE!</v>
      </c>
      <c r="EB13" t="e">
        <f ca="1">Time!BU55+"Ug1!Jc"</f>
        <v>#VALUE!</v>
      </c>
      <c r="EC13" t="e">
        <f ca="1">Time!BV55+"Ug1!Jd"</f>
        <v>#VALUE!</v>
      </c>
      <c r="ED13" t="e">
        <f ca="1">Time!BW55+"Ug1!Je"</f>
        <v>#VALUE!</v>
      </c>
      <c r="EE13" t="e">
        <f ca="1">Time!BX55+"Ug1!Jf"</f>
        <v>#VALUE!</v>
      </c>
      <c r="EF13" t="e">
        <f ca="1">Time!BY55+"Ug1!Jg"</f>
        <v>#VALUE!</v>
      </c>
      <c r="EG13" t="e">
        <f ca="1">Time!A58+"Ug1!Jh"</f>
        <v>#VALUE!</v>
      </c>
      <c r="EH13" t="e">
        <f ca="1">Time!E60+"Ug1!Ji"</f>
        <v>#VALUE!</v>
      </c>
      <c r="EI13" t="e">
        <f ca="1">Time!F60+"Ug1!Jj"</f>
        <v>#VALUE!</v>
      </c>
      <c r="EJ13" t="e">
        <f ca="1">Time!G60+"Ug1!Jk"</f>
        <v>#VALUE!</v>
      </c>
      <c r="EK13" t="e">
        <f ca="1">Time!H60+"Ug1!Jl"</f>
        <v>#VALUE!</v>
      </c>
      <c r="EL13" t="e">
        <f ca="1">Time!I60+"Ug1!Jm"</f>
        <v>#VALUE!</v>
      </c>
      <c r="EM13" t="e">
        <f ca="1">Time!J60+"Ug1!Jn"</f>
        <v>#VALUE!</v>
      </c>
      <c r="EN13" t="e">
        <f ca="1">Time!K60+"Ug1!Jo"</f>
        <v>#VALUE!</v>
      </c>
      <c r="EO13" t="e">
        <f ca="1">Time!L60+"Ug1!Jp"</f>
        <v>#VALUE!</v>
      </c>
      <c r="EP13" t="e">
        <f ca="1">Time!M60+"Ug1!Jq"</f>
        <v>#VALUE!</v>
      </c>
      <c r="EQ13" t="e">
        <f ca="1">Time!N60+"Ug1!Jr"</f>
        <v>#VALUE!</v>
      </c>
      <c r="ER13" t="e">
        <f ca="1">Time!O60+"Ug1!Js"</f>
        <v>#VALUE!</v>
      </c>
      <c r="ES13" t="e">
        <f ca="1">Time!P60+"Ug1!Jt"</f>
        <v>#VALUE!</v>
      </c>
      <c r="ET13" t="e">
        <f ca="1">Time!Q60+"Ug1!Ju"</f>
        <v>#VALUE!</v>
      </c>
      <c r="EU13" t="e">
        <f ca="1">Time!R60+"Ug1!Jv"</f>
        <v>#VALUE!</v>
      </c>
      <c r="EV13" t="e">
        <f ca="1">Time!S60+"Ug1!Jw"</f>
        <v>#VALUE!</v>
      </c>
      <c r="EW13" t="e">
        <f ca="1">Time!T60+"Ug1!Jx"</f>
        <v>#VALUE!</v>
      </c>
      <c r="EX13" t="e">
        <f ca="1">Time!U60+"Ug1!Jy"</f>
        <v>#VALUE!</v>
      </c>
      <c r="EY13" t="e">
        <f ca="1">Time!V60+"Ug1!Jz"</f>
        <v>#VALUE!</v>
      </c>
      <c r="EZ13" t="e">
        <f ca="1">Time!W60+"Ug1!J{"</f>
        <v>#VALUE!</v>
      </c>
      <c r="FA13" t="e">
        <f ca="1">Time!X60+"Ug1!J|"</f>
        <v>#VALUE!</v>
      </c>
      <c r="FB13" t="e">
        <f ca="1">Time!Y60+"Ug1!J}"</f>
        <v>#VALUE!</v>
      </c>
      <c r="FC13" t="e">
        <f ca="1">Time!Z60+"Ug1!J~"</f>
        <v>#VALUE!</v>
      </c>
      <c r="FD13" t="e">
        <f ca="1">Time!AA60+"Ug1!K#"</f>
        <v>#VALUE!</v>
      </c>
      <c r="FE13" t="e">
        <f ca="1">Time!AB60+"Ug1!K$"</f>
        <v>#VALUE!</v>
      </c>
      <c r="FF13" t="e">
        <f ca="1">Time!AC60+"Ug1!K%"</f>
        <v>#VALUE!</v>
      </c>
      <c r="FG13" t="e">
        <f ca="1">Time!AD60+"Ug1!K&amp;"</f>
        <v>#VALUE!</v>
      </c>
      <c r="FH13" t="e">
        <f ca="1">Time!AE60+"Ug1!K'"</f>
        <v>#VALUE!</v>
      </c>
      <c r="FI13" t="e">
        <f ca="1">Time!AF60+"Ug1!K("</f>
        <v>#VALUE!</v>
      </c>
      <c r="FJ13" t="e">
        <f ca="1">Time!AG60+"Ug1!K)"</f>
        <v>#VALUE!</v>
      </c>
      <c r="FK13" t="e">
        <f ca="1">Time!AH60+"Ug1!K."</f>
        <v>#VALUE!</v>
      </c>
      <c r="FL13" t="e">
        <f ca="1">Time!AI60+"Ug1!K/"</f>
        <v>#VALUE!</v>
      </c>
      <c r="FM13" t="e">
        <f ca="1">Time!AJ60+"Ug1!K0"</f>
        <v>#VALUE!</v>
      </c>
      <c r="FN13" t="e">
        <f ca="1">Time!AK60+"Ug1!K1"</f>
        <v>#VALUE!</v>
      </c>
      <c r="FO13" t="e">
        <f ca="1">Time!AL60+"Ug1!K2"</f>
        <v>#VALUE!</v>
      </c>
      <c r="FP13" t="e">
        <f ca="1">Time!AM60+"Ug1!K3"</f>
        <v>#VALUE!</v>
      </c>
      <c r="FQ13" t="e">
        <f ca="1">Time!AN60+"Ug1!K4"</f>
        <v>#VALUE!</v>
      </c>
      <c r="FR13" t="e">
        <f ca="1">Time!AO60+"Ug1!K5"</f>
        <v>#VALUE!</v>
      </c>
      <c r="FS13" t="e">
        <f ca="1">Time!AP60+"Ug1!K6"</f>
        <v>#VALUE!</v>
      </c>
      <c r="FT13" t="e">
        <f ca="1">Time!AQ60+"Ug1!K7"</f>
        <v>#VALUE!</v>
      </c>
      <c r="FU13" t="e">
        <f ca="1">Time!AR60+"Ug1!K8"</f>
        <v>#VALUE!</v>
      </c>
      <c r="FV13" t="e">
        <f ca="1">Time!AS60+"Ug1!K9"</f>
        <v>#VALUE!</v>
      </c>
      <c r="FW13" t="e">
        <f ca="1">Time!AT60+"Ug1!K:"</f>
        <v>#VALUE!</v>
      </c>
      <c r="FX13" t="e">
        <f ca="1">Time!AU60+"Ug1!K;"</f>
        <v>#VALUE!</v>
      </c>
      <c r="FY13" t="e">
        <f ca="1">Time!AV60+"Ug1!K&lt;"</f>
        <v>#VALUE!</v>
      </c>
      <c r="FZ13" t="e">
        <f ca="1">Time!AW60+"Ug1!K="</f>
        <v>#VALUE!</v>
      </c>
      <c r="GA13" t="e">
        <f ca="1">Time!AX60+"Ug1!K&gt;"</f>
        <v>#VALUE!</v>
      </c>
      <c r="GB13" t="e">
        <f ca="1">Time!AY60+"Ug1!K?"</f>
        <v>#VALUE!</v>
      </c>
      <c r="GC13" t="e">
        <f ca="1">Time!AZ60+"Ug1!K@"</f>
        <v>#VALUE!</v>
      </c>
      <c r="GD13" t="e">
        <f ca="1">Time!BA60+"Ug1!KA"</f>
        <v>#VALUE!</v>
      </c>
      <c r="GE13" t="e">
        <f ca="1">Time!BB60+"Ug1!KB"</f>
        <v>#VALUE!</v>
      </c>
      <c r="GF13" t="e">
        <f ca="1">Time!BC60+"Ug1!KC"</f>
        <v>#VALUE!</v>
      </c>
      <c r="GG13" t="e">
        <f ca="1">Time!BD60+"Ug1!KD"</f>
        <v>#VALUE!</v>
      </c>
      <c r="GH13" t="e">
        <f ca="1">Time!BE60+"Ug1!KE"</f>
        <v>#VALUE!</v>
      </c>
      <c r="GI13" t="e">
        <f ca="1">Time!BF60+"Ug1!KF"</f>
        <v>#VALUE!</v>
      </c>
      <c r="GJ13" t="e">
        <f ca="1">Time!BG60+"Ug1!KG"</f>
        <v>#VALUE!</v>
      </c>
      <c r="GK13" t="e">
        <f ca="1">Time!BH60+"Ug1!KH"</f>
        <v>#VALUE!</v>
      </c>
      <c r="GL13" t="e">
        <f ca="1">Time!BI60+"Ug1!KI"</f>
        <v>#VALUE!</v>
      </c>
      <c r="GM13" t="e">
        <f ca="1">Time!BJ60+"Ug1!KJ"</f>
        <v>#VALUE!</v>
      </c>
      <c r="GN13" t="e">
        <f ca="1">Time!BK60+"Ug1!KK"</f>
        <v>#VALUE!</v>
      </c>
      <c r="GO13" t="e">
        <f ca="1">Time!BL60+"Ug1!KL"</f>
        <v>#VALUE!</v>
      </c>
      <c r="GP13" t="e">
        <f ca="1">Time!BM60+"Ug1!KM"</f>
        <v>#VALUE!</v>
      </c>
      <c r="GQ13" t="e">
        <f ca="1">Time!BN60+"Ug1!KN"</f>
        <v>#VALUE!</v>
      </c>
      <c r="GR13" t="e">
        <f ca="1">Time!BO60+"Ug1!KO"</f>
        <v>#VALUE!</v>
      </c>
      <c r="GS13" t="e">
        <f ca="1">Time!BP60+"Ug1!KP"</f>
        <v>#VALUE!</v>
      </c>
      <c r="GT13" t="e">
        <f ca="1">Time!BQ60+"Ug1!KQ"</f>
        <v>#VALUE!</v>
      </c>
      <c r="GU13" t="e">
        <f ca="1">Time!BR60+"Ug1!KR"</f>
        <v>#VALUE!</v>
      </c>
      <c r="GV13" t="e">
        <f ca="1">Time!BS60+"Ug1!KS"</f>
        <v>#VALUE!</v>
      </c>
      <c r="GW13" t="e">
        <f ca="1">Time!BT60+"Ug1!KT"</f>
        <v>#VALUE!</v>
      </c>
      <c r="GX13" t="e">
        <f ca="1">Time!BU60+"Ug1!KU"</f>
        <v>#VALUE!</v>
      </c>
      <c r="GY13" t="e">
        <f ca="1">Time!BV60+"Ug1!KV"</f>
        <v>#VALUE!</v>
      </c>
      <c r="GZ13" t="e">
        <f ca="1">Time!BW60+"Ug1!KW"</f>
        <v>#VALUE!</v>
      </c>
      <c r="HA13" t="e">
        <f ca="1">Time!BX60+"Ug1!KX"</f>
        <v>#VALUE!</v>
      </c>
      <c r="HB13" t="e">
        <f ca="1">Time!BY60+"Ug1!KY"</f>
        <v>#VALUE!</v>
      </c>
      <c r="HC13" t="e">
        <f ca="1">Time!BZ60+"Ug1!KZ"</f>
        <v>#VALUE!</v>
      </c>
      <c r="HD13" t="e">
        <f ca="1">Time!CA60+"Ug1!K["</f>
        <v>#VALUE!</v>
      </c>
      <c r="HE13" t="e">
        <f ca="1">Time!A61+"Ug1!K\"</f>
        <v>#VALUE!</v>
      </c>
      <c r="HF13" t="e">
        <f ca="1">Time!B61+"Ug1!K]"</f>
        <v>#VALUE!</v>
      </c>
      <c r="HG13" t="e">
        <f ca="1">Time!C61+"Ug1!K^"</f>
        <v>#VALUE!</v>
      </c>
      <c r="HH13" t="e">
        <f ca="1">Time!D61+"Ug1!K_"</f>
        <v>#VALUE!</v>
      </c>
      <c r="HI13" t="e">
        <f ca="1">Time!E61+"Ug1!K`"</f>
        <v>#VALUE!</v>
      </c>
      <c r="HJ13" t="e">
        <f ca="1">Time!F61+"Ug1!Ka"</f>
        <v>#VALUE!</v>
      </c>
      <c r="HK13" t="e">
        <f ca="1">Time!G61+"Ug1!Kb"</f>
        <v>#VALUE!</v>
      </c>
      <c r="HL13" t="e">
        <f ca="1">Time!H61+"Ug1!Kc"</f>
        <v>#VALUE!</v>
      </c>
      <c r="HM13" t="e">
        <f ca="1">Time!I61+"Ug1!Kd"</f>
        <v>#VALUE!</v>
      </c>
      <c r="HN13" t="e">
        <f ca="1">Time!J61+"Ug1!Ke"</f>
        <v>#VALUE!</v>
      </c>
      <c r="HO13" t="e">
        <f ca="1">Time!K61+"Ug1!Kf"</f>
        <v>#VALUE!</v>
      </c>
      <c r="HP13" t="e">
        <f ca="1">Time!L61+"Ug1!Kg"</f>
        <v>#VALUE!</v>
      </c>
      <c r="HQ13" t="e">
        <f ca="1">Time!M61+"Ug1!Kh"</f>
        <v>#VALUE!</v>
      </c>
      <c r="HR13" t="e">
        <f ca="1">Time!N61+"Ug1!Ki"</f>
        <v>#VALUE!</v>
      </c>
      <c r="HS13" t="e">
        <f ca="1">Time!O61+"Ug1!Kj"</f>
        <v>#VALUE!</v>
      </c>
      <c r="HT13" t="e">
        <f ca="1">Time!P61+"Ug1!Kk"</f>
        <v>#VALUE!</v>
      </c>
      <c r="HU13" t="e">
        <f ca="1">Time!Q61+"Ug1!Kl"</f>
        <v>#VALUE!</v>
      </c>
      <c r="HV13" t="e">
        <f ca="1">Time!R61+"Ug1!Km"</f>
        <v>#VALUE!</v>
      </c>
      <c r="HW13" t="e">
        <f ca="1">Time!S61+"Ug1!Kn"</f>
        <v>#VALUE!</v>
      </c>
      <c r="HX13" t="e">
        <f ca="1">Time!T61+"Ug1!Ko"</f>
        <v>#VALUE!</v>
      </c>
      <c r="HY13" t="e">
        <f ca="1">Time!U61+"Ug1!Kp"</f>
        <v>#VALUE!</v>
      </c>
      <c r="HZ13" t="e">
        <f ca="1">Time!V61+"Ug1!Kq"</f>
        <v>#VALUE!</v>
      </c>
      <c r="IA13" t="e">
        <f ca="1">Time!W61+"Ug1!Kr"</f>
        <v>#VALUE!</v>
      </c>
      <c r="IB13" t="e">
        <f ca="1">Time!X61+"Ug1!Ks"</f>
        <v>#VALUE!</v>
      </c>
      <c r="IC13" t="e">
        <f ca="1">Time!Y61+"Ug1!Kt"</f>
        <v>#VALUE!</v>
      </c>
      <c r="ID13" t="e">
        <f ca="1">Time!Z61+"Ug1!Ku"</f>
        <v>#VALUE!</v>
      </c>
      <c r="IE13" t="e">
        <f ca="1">Time!AA61+"Ug1!Kv"</f>
        <v>#VALUE!</v>
      </c>
      <c r="IF13" t="e">
        <f ca="1">Time!AB61+"Ug1!Kw"</f>
        <v>#VALUE!</v>
      </c>
      <c r="IG13" t="e">
        <f ca="1">Time!AC61+"Ug1!Kx"</f>
        <v>#VALUE!</v>
      </c>
      <c r="IH13" t="e">
        <f ca="1">Time!AD61+"Ug1!Ky"</f>
        <v>#VALUE!</v>
      </c>
      <c r="II13" t="e">
        <f ca="1">Time!AE61+"Ug1!Kz"</f>
        <v>#VALUE!</v>
      </c>
      <c r="IJ13" t="e">
        <f ca="1">Time!AF61+"Ug1!K{"</f>
        <v>#VALUE!</v>
      </c>
      <c r="IK13" t="e">
        <f ca="1">Time!AG61+"Ug1!K|"</f>
        <v>#VALUE!</v>
      </c>
      <c r="IL13" t="e">
        <f ca="1">Time!AH61+"Ug1!K}"</f>
        <v>#VALUE!</v>
      </c>
      <c r="IM13" t="e">
        <f ca="1">Time!AI61+"Ug1!K~"</f>
        <v>#VALUE!</v>
      </c>
      <c r="IN13" t="e">
        <f ca="1">Time!AJ61+"Ug1!L#"</f>
        <v>#VALUE!</v>
      </c>
      <c r="IO13" t="e">
        <f ca="1">Time!AK61+"Ug1!L$"</f>
        <v>#VALUE!</v>
      </c>
      <c r="IP13" t="e">
        <f ca="1">Time!AL61+"Ug1!L%"</f>
        <v>#VALUE!</v>
      </c>
      <c r="IQ13" t="e">
        <f ca="1">Time!AM61+"Ug1!L&amp;"</f>
        <v>#VALUE!</v>
      </c>
      <c r="IR13" t="e">
        <f ca="1">Time!AN61+"Ug1!L'"</f>
        <v>#VALUE!</v>
      </c>
      <c r="IS13" t="e">
        <f ca="1">Time!AO61+"Ug1!L("</f>
        <v>#VALUE!</v>
      </c>
      <c r="IT13" t="e">
        <f ca="1">Time!AP61+"Ug1!L)"</f>
        <v>#VALUE!</v>
      </c>
      <c r="IU13" t="e">
        <f ca="1">Time!AQ61+"Ug1!L."</f>
        <v>#VALUE!</v>
      </c>
      <c r="IV13" t="e">
        <f ca="1">Time!AR61+"Ug1!L/"</f>
        <v>#VALUE!</v>
      </c>
    </row>
    <row r="14" spans="1:256" x14ac:dyDescent="0.2">
      <c r="F14" t="e">
        <f ca="1">Time!AS61+"Ug1!L0"</f>
        <v>#VALUE!</v>
      </c>
      <c r="G14" t="e">
        <f ca="1">Time!AT61+"Ug1!L1"</f>
        <v>#VALUE!</v>
      </c>
      <c r="H14" t="e">
        <f ca="1">Time!AU61+"Ug1!L2"</f>
        <v>#VALUE!</v>
      </c>
      <c r="I14" t="e">
        <f ca="1">Time!AV61+"Ug1!L3"</f>
        <v>#VALUE!</v>
      </c>
      <c r="J14" t="e">
        <f ca="1">Time!AW61+"Ug1!L4"</f>
        <v>#VALUE!</v>
      </c>
      <c r="K14" t="e">
        <f ca="1">Time!AX61+"Ug1!L5"</f>
        <v>#VALUE!</v>
      </c>
      <c r="L14" t="e">
        <f ca="1">Time!AY61+"Ug1!L6"</f>
        <v>#VALUE!</v>
      </c>
      <c r="M14" t="e">
        <f ca="1">Time!AZ61+"Ug1!L7"</f>
        <v>#VALUE!</v>
      </c>
      <c r="N14" t="e">
        <f ca="1">Time!BA61+"Ug1!L8"</f>
        <v>#VALUE!</v>
      </c>
      <c r="O14" t="e">
        <f ca="1">Time!BB61+"Ug1!L9"</f>
        <v>#VALUE!</v>
      </c>
      <c r="P14" t="e">
        <f ca="1">Time!BC61+"Ug1!L:"</f>
        <v>#VALUE!</v>
      </c>
      <c r="Q14" t="e">
        <f ca="1">Time!BD61+"Ug1!L;"</f>
        <v>#VALUE!</v>
      </c>
      <c r="R14" t="e">
        <f ca="1">Time!BE61+"Ug1!L&lt;"</f>
        <v>#VALUE!</v>
      </c>
      <c r="S14" t="e">
        <f ca="1">Time!BF61+"Ug1!L="</f>
        <v>#VALUE!</v>
      </c>
      <c r="T14" t="e">
        <f ca="1">Time!BG61+"Ug1!L&gt;"</f>
        <v>#VALUE!</v>
      </c>
      <c r="U14" t="e">
        <f ca="1">Time!BH61+"Ug1!L?"</f>
        <v>#VALUE!</v>
      </c>
      <c r="V14" t="e">
        <f ca="1">Time!BI61+"Ug1!L@"</f>
        <v>#VALUE!</v>
      </c>
      <c r="W14" t="e">
        <f ca="1">Time!BJ61+"Ug1!LA"</f>
        <v>#VALUE!</v>
      </c>
      <c r="X14" t="e">
        <f ca="1">Time!BK61+"Ug1!LB"</f>
        <v>#VALUE!</v>
      </c>
      <c r="Y14" t="e">
        <f ca="1">Time!BL61+"Ug1!LC"</f>
        <v>#VALUE!</v>
      </c>
      <c r="Z14" t="e">
        <f ca="1">Time!BM61+"Ug1!LD"</f>
        <v>#VALUE!</v>
      </c>
      <c r="AA14" t="e">
        <f ca="1">Time!BN61+"Ug1!LE"</f>
        <v>#VALUE!</v>
      </c>
      <c r="AB14" t="e">
        <f ca="1">Time!BO61+"Ug1!LF"</f>
        <v>#VALUE!</v>
      </c>
      <c r="AC14" t="e">
        <f ca="1">Time!BP61+"Ug1!LG"</f>
        <v>#VALUE!</v>
      </c>
      <c r="AD14" t="e">
        <f ca="1">Time!BQ61+"Ug1!LH"</f>
        <v>#VALUE!</v>
      </c>
      <c r="AE14" t="e">
        <f ca="1">Time!BR61+"Ug1!LI"</f>
        <v>#VALUE!</v>
      </c>
      <c r="AF14" t="e">
        <f ca="1">Time!BS61+"Ug1!LJ"</f>
        <v>#VALUE!</v>
      </c>
      <c r="AG14" t="e">
        <f ca="1">Time!BT61+"Ug1!LK"</f>
        <v>#VALUE!</v>
      </c>
      <c r="AH14" t="e">
        <f ca="1">Time!BU61+"Ug1!LL"</f>
        <v>#VALUE!</v>
      </c>
      <c r="AI14" t="e">
        <f ca="1">Time!BV61+"Ug1!LM"</f>
        <v>#VALUE!</v>
      </c>
      <c r="AJ14" t="e">
        <f ca="1">Time!BW61+"Ug1!LN"</f>
        <v>#VALUE!</v>
      </c>
      <c r="AK14" t="e">
        <f ca="1">Time!BX61+"Ug1!LO"</f>
        <v>#VALUE!</v>
      </c>
      <c r="AL14" t="e">
        <f ca="1">Time!BY61+"Ug1!LP"</f>
        <v>#VALUE!</v>
      </c>
      <c r="AM14" t="e">
        <f ca="1">Time!A62+"Ug1!LQ"</f>
        <v>#VALUE!</v>
      </c>
      <c r="AN14" t="e">
        <f ca="1">Time!B62+"Ug1!LR"</f>
        <v>#VALUE!</v>
      </c>
      <c r="AO14" t="e">
        <f ca="1">Time!C62+"Ug1!LS"</f>
        <v>#VALUE!</v>
      </c>
      <c r="AP14" t="e">
        <f ca="1">Time!D62+"Ug1!LT"</f>
        <v>#VALUE!</v>
      </c>
      <c r="AQ14" t="e">
        <f ca="1">Time!E62+"Ug1!LU"</f>
        <v>#VALUE!</v>
      </c>
      <c r="AR14" t="e">
        <f ca="1">Time!G62+"Ug1!LV"</f>
        <v>#VALUE!</v>
      </c>
      <c r="AS14" t="e">
        <f ca="1">Time!J62+"Ug1!LW"</f>
        <v>#VALUE!</v>
      </c>
      <c r="AT14" t="e">
        <f ca="1">Time!K62+"Ug1!LX"</f>
        <v>#VALUE!</v>
      </c>
      <c r="AU14" t="e">
        <f ca="1">Time!L62+"Ug1!LY"</f>
        <v>#VALUE!</v>
      </c>
      <c r="AV14" t="e">
        <f ca="1">Time!M62+"Ug1!LZ"</f>
        <v>#VALUE!</v>
      </c>
      <c r="AW14" t="e">
        <f ca="1">Time!N62+"Ug1!L["</f>
        <v>#VALUE!</v>
      </c>
      <c r="AX14" t="e">
        <f ca="1">Time!O62+"Ug1!L\"</f>
        <v>#VALUE!</v>
      </c>
      <c r="AY14" t="e">
        <f ca="1">Time!P62+"Ug1!L]"</f>
        <v>#VALUE!</v>
      </c>
      <c r="AZ14" t="e">
        <f ca="1">Time!Q62+"Ug1!L^"</f>
        <v>#VALUE!</v>
      </c>
      <c r="BA14" t="e">
        <f ca="1">Time!R62+"Ug1!L_"</f>
        <v>#VALUE!</v>
      </c>
      <c r="BB14" t="e">
        <f ca="1">Time!S62+"Ug1!L`"</f>
        <v>#VALUE!</v>
      </c>
      <c r="BC14" t="e">
        <f ca="1">Time!T62+"Ug1!La"</f>
        <v>#VALUE!</v>
      </c>
      <c r="BD14" t="e">
        <f ca="1">Time!U62+"Ug1!Lb"</f>
        <v>#VALUE!</v>
      </c>
      <c r="BE14" t="e">
        <f ca="1">Time!V62+"Ug1!Lc"</f>
        <v>#VALUE!</v>
      </c>
      <c r="BF14" t="e">
        <f ca="1">Time!W62+"Ug1!Ld"</f>
        <v>#VALUE!</v>
      </c>
      <c r="BG14" t="e">
        <f ca="1">Time!X62+"Ug1!Le"</f>
        <v>#VALUE!</v>
      </c>
      <c r="BH14" t="e">
        <f ca="1">Time!Y62+"Ug1!Lf"</f>
        <v>#VALUE!</v>
      </c>
      <c r="BI14" t="e">
        <f ca="1">Time!Z62+"Ug1!Lg"</f>
        <v>#VALUE!</v>
      </c>
      <c r="BJ14" t="e">
        <f ca="1">Time!AA62+"Ug1!Lh"</f>
        <v>#VALUE!</v>
      </c>
      <c r="BK14" t="e">
        <f ca="1">Time!AB62+"Ug1!Li"</f>
        <v>#VALUE!</v>
      </c>
      <c r="BL14" t="e">
        <f ca="1">Time!AC62+"Ug1!Lj"</f>
        <v>#VALUE!</v>
      </c>
      <c r="BM14" t="e">
        <f ca="1">Time!AD62+"Ug1!Lk"</f>
        <v>#VALUE!</v>
      </c>
      <c r="BN14" t="e">
        <f ca="1">Time!AE62+"Ug1!Ll"</f>
        <v>#VALUE!</v>
      </c>
      <c r="BO14" t="e">
        <f ca="1">Time!AF62+"Ug1!Lm"</f>
        <v>#VALUE!</v>
      </c>
      <c r="BP14" t="e">
        <f ca="1">Time!AG62+"Ug1!Ln"</f>
        <v>#VALUE!</v>
      </c>
      <c r="BQ14" t="e">
        <f ca="1">Time!AH62+"Ug1!Lo"</f>
        <v>#VALUE!</v>
      </c>
      <c r="BR14" t="e">
        <f ca="1">Time!AI62+"Ug1!Lp"</f>
        <v>#VALUE!</v>
      </c>
      <c r="BS14" t="e">
        <f ca="1">Time!AJ62+"Ug1!Lq"</f>
        <v>#VALUE!</v>
      </c>
      <c r="BT14" t="e">
        <f ca="1">Time!AK62+"Ug1!Lr"</f>
        <v>#VALUE!</v>
      </c>
      <c r="BU14" t="e">
        <f ca="1">Time!AL62+"Ug1!Ls"</f>
        <v>#VALUE!</v>
      </c>
      <c r="BV14" t="e">
        <f ca="1">Time!AM62+"Ug1!Lt"</f>
        <v>#VALUE!</v>
      </c>
      <c r="BW14" t="e">
        <f ca="1">Time!AN62+"Ug1!Lu"</f>
        <v>#VALUE!</v>
      </c>
      <c r="BX14" t="e">
        <f ca="1">Time!AO62+"Ug1!Lv"</f>
        <v>#VALUE!</v>
      </c>
      <c r="BY14" t="e">
        <f ca="1">Time!AP62+"Ug1!Lw"</f>
        <v>#VALUE!</v>
      </c>
      <c r="BZ14" t="e">
        <f ca="1">Time!AQ62+"Ug1!Lx"</f>
        <v>#VALUE!</v>
      </c>
      <c r="CA14" t="e">
        <f ca="1">Time!AR62+"Ug1!Ly"</f>
        <v>#VALUE!</v>
      </c>
      <c r="CB14" t="e">
        <f ca="1">Time!AS62+"Ug1!Lz"</f>
        <v>#VALUE!</v>
      </c>
      <c r="CC14" t="e">
        <f ca="1">Time!AT62+"Ug1!L{"</f>
        <v>#VALUE!</v>
      </c>
      <c r="CD14" t="e">
        <f ca="1">Time!AU62+"Ug1!L|"</f>
        <v>#VALUE!</v>
      </c>
      <c r="CE14" t="e">
        <f ca="1">Time!AV62+"Ug1!L}"</f>
        <v>#VALUE!</v>
      </c>
      <c r="CF14" t="e">
        <f ca="1">Time!AW62+"Ug1!L~"</f>
        <v>#VALUE!</v>
      </c>
      <c r="CG14" t="e">
        <f ca="1">Time!AX62+"Ug1!M#"</f>
        <v>#VALUE!</v>
      </c>
      <c r="CH14" t="e">
        <f ca="1">Time!AY62+"Ug1!M$"</f>
        <v>#VALUE!</v>
      </c>
      <c r="CI14" t="e">
        <f ca="1">Time!AZ62+"Ug1!M%"</f>
        <v>#VALUE!</v>
      </c>
      <c r="CJ14" t="e">
        <f ca="1">Time!BA62+"Ug1!M&amp;"</f>
        <v>#VALUE!</v>
      </c>
      <c r="CK14" t="e">
        <f ca="1">Time!BB62+"Ug1!M'"</f>
        <v>#VALUE!</v>
      </c>
      <c r="CL14" t="e">
        <f ca="1">Time!BC62+"Ug1!M("</f>
        <v>#VALUE!</v>
      </c>
      <c r="CM14" t="e">
        <f ca="1">Time!BD62+"Ug1!M)"</f>
        <v>#VALUE!</v>
      </c>
      <c r="CN14" t="e">
        <f ca="1">Time!BE62+"Ug1!M."</f>
        <v>#VALUE!</v>
      </c>
      <c r="CO14" t="e">
        <f ca="1">Time!BF62+"Ug1!M/"</f>
        <v>#VALUE!</v>
      </c>
      <c r="CP14" t="e">
        <f ca="1">Time!BG62+"Ug1!M0"</f>
        <v>#VALUE!</v>
      </c>
      <c r="CQ14" t="e">
        <f ca="1">Time!BH62+"Ug1!M1"</f>
        <v>#VALUE!</v>
      </c>
      <c r="CR14" t="e">
        <f ca="1">Time!BI62+"Ug1!M2"</f>
        <v>#VALUE!</v>
      </c>
      <c r="CS14" t="e">
        <f ca="1">Time!BJ62+"Ug1!M3"</f>
        <v>#VALUE!</v>
      </c>
      <c r="CT14" t="e">
        <f ca="1">Time!BK62+"Ug1!M4"</f>
        <v>#VALUE!</v>
      </c>
      <c r="CU14" t="e">
        <f ca="1">Time!BL62+"Ug1!M5"</f>
        <v>#VALUE!</v>
      </c>
      <c r="CV14" t="e">
        <f ca="1">Time!BM62+"Ug1!M6"</f>
        <v>#VALUE!</v>
      </c>
      <c r="CW14" t="e">
        <f ca="1">Time!BN62+"Ug1!M7"</f>
        <v>#VALUE!</v>
      </c>
      <c r="CX14" t="e">
        <f ca="1">Time!BO62+"Ug1!M8"</f>
        <v>#VALUE!</v>
      </c>
      <c r="CY14" t="e">
        <f ca="1">Time!BP62+"Ug1!M9"</f>
        <v>#VALUE!</v>
      </c>
      <c r="CZ14" t="e">
        <f ca="1">Time!BQ62+"Ug1!M:"</f>
        <v>#VALUE!</v>
      </c>
      <c r="DA14" t="e">
        <f ca="1">Time!BR62+"Ug1!M;"</f>
        <v>#VALUE!</v>
      </c>
      <c r="DB14" t="e">
        <f ca="1">Time!BS62+"Ug1!M&lt;"</f>
        <v>#VALUE!</v>
      </c>
      <c r="DC14" t="e">
        <f ca="1">Time!BT62+"Ug1!M="</f>
        <v>#VALUE!</v>
      </c>
      <c r="DD14" t="e">
        <f ca="1">Time!BU62+"Ug1!M&gt;"</f>
        <v>#VALUE!</v>
      </c>
      <c r="DE14" t="e">
        <f ca="1">Time!BV62+"Ug1!M?"</f>
        <v>#VALUE!</v>
      </c>
      <c r="DF14" t="e">
        <f ca="1">Time!BW62+"Ug1!M@"</f>
        <v>#VALUE!</v>
      </c>
      <c r="DG14" t="e">
        <f ca="1">Time!BX62+"Ug1!MA"</f>
        <v>#VALUE!</v>
      </c>
      <c r="DH14" t="e">
        <f ca="1">Time!BY62+"Ug1!MB"</f>
        <v>#VALUE!</v>
      </c>
      <c r="DI14" t="e">
        <f ca="1">Time!BZ62+"Ug1!MC"</f>
        <v>#VALUE!</v>
      </c>
      <c r="DJ14" t="e">
        <f ca="1">Time!CA62+"Ug1!MD"</f>
        <v>#VALUE!</v>
      </c>
      <c r="DK14" t="e">
        <f ca="1">Time!A64+"Ug1!ME"</f>
        <v>#VALUE!</v>
      </c>
      <c r="DL14" t="e">
        <f ca="1">Time!B64+"Ug1!MF"</f>
        <v>#VALUE!</v>
      </c>
      <c r="DM14" t="e">
        <f ca="1">Time!C64+"Ug1!MG"</f>
        <v>#VALUE!</v>
      </c>
      <c r="DN14" t="e">
        <f ca="1">Time!D64+"Ug1!MH"</f>
        <v>#VALUE!</v>
      </c>
      <c r="DO14" t="e">
        <f ca="1">Time!E64+"Ug1!MI"</f>
        <v>#VALUE!</v>
      </c>
      <c r="DP14" t="e">
        <f ca="1">Time!F64+"Ug1!MJ"</f>
        <v>#VALUE!</v>
      </c>
      <c r="DQ14" t="e">
        <f ca="1">Time!G64+"Ug1!MK"</f>
        <v>#VALUE!</v>
      </c>
      <c r="DR14" t="e">
        <f ca="1">Time!H64+"Ug1!ML"</f>
        <v>#VALUE!</v>
      </c>
      <c r="DS14" t="e">
        <f ca="1">Time!I64+"Ug1!MM"</f>
        <v>#VALUE!</v>
      </c>
      <c r="DT14" t="e">
        <f ca="1">Time!J64+"Ug1!MN"</f>
        <v>#VALUE!</v>
      </c>
      <c r="DU14" t="e">
        <f ca="1">Time!K64+"Ug1!MO"</f>
        <v>#VALUE!</v>
      </c>
      <c r="DV14" t="e">
        <f ca="1">Time!L64+"Ug1!MP"</f>
        <v>#VALUE!</v>
      </c>
      <c r="DW14" t="e">
        <f ca="1">Time!M64+"Ug1!MQ"</f>
        <v>#VALUE!</v>
      </c>
      <c r="DX14" t="e">
        <f ca="1">Time!N64+"Ug1!MR"</f>
        <v>#VALUE!</v>
      </c>
      <c r="DY14" t="e">
        <f ca="1">Time!O64+"Ug1!MS"</f>
        <v>#VALUE!</v>
      </c>
      <c r="DZ14" t="e">
        <f ca="1">Time!P64+"Ug1!MT"</f>
        <v>#VALUE!</v>
      </c>
      <c r="EA14" t="e">
        <f ca="1">Time!Q64+"Ug1!MU"</f>
        <v>#VALUE!</v>
      </c>
      <c r="EB14" t="e">
        <f ca="1">Time!R64+"Ug1!MV"</f>
        <v>#VALUE!</v>
      </c>
      <c r="EC14" t="e">
        <f ca="1">Time!S64+"Ug1!MW"</f>
        <v>#VALUE!</v>
      </c>
      <c r="ED14" t="e">
        <f ca="1">Time!T64+"Ug1!MX"</f>
        <v>#VALUE!</v>
      </c>
      <c r="EE14" t="e">
        <f ca="1">Time!U64+"Ug1!MY"</f>
        <v>#VALUE!</v>
      </c>
      <c r="EF14" t="e">
        <f ca="1">Time!V64+"Ug1!MZ"</f>
        <v>#VALUE!</v>
      </c>
      <c r="EG14" t="e">
        <f ca="1">Time!W64+"Ug1!M["</f>
        <v>#VALUE!</v>
      </c>
      <c r="EH14" t="e">
        <f ca="1">Time!X64+"Ug1!M\"</f>
        <v>#VALUE!</v>
      </c>
      <c r="EI14" t="e">
        <f ca="1">Time!Y64+"Ug1!M]"</f>
        <v>#VALUE!</v>
      </c>
      <c r="EJ14" t="e">
        <f ca="1">Time!Z64+"Ug1!M^"</f>
        <v>#VALUE!</v>
      </c>
      <c r="EK14" t="e">
        <f ca="1">Time!AA64+"Ug1!M_"</f>
        <v>#VALUE!</v>
      </c>
      <c r="EL14" t="e">
        <f ca="1">Time!AB64+"Ug1!M`"</f>
        <v>#VALUE!</v>
      </c>
      <c r="EM14" t="e">
        <f ca="1">Time!AC64+"Ug1!Ma"</f>
        <v>#VALUE!</v>
      </c>
      <c r="EN14" t="e">
        <f ca="1">Time!AD64+"Ug1!Mb"</f>
        <v>#VALUE!</v>
      </c>
      <c r="EO14" t="e">
        <f ca="1">Time!AE64+"Ug1!Mc"</f>
        <v>#VALUE!</v>
      </c>
      <c r="EP14" t="e">
        <f ca="1">Time!AF64+"Ug1!Md"</f>
        <v>#VALUE!</v>
      </c>
      <c r="EQ14" t="e">
        <f ca="1">Time!AG64+"Ug1!Me"</f>
        <v>#VALUE!</v>
      </c>
      <c r="ER14" t="e">
        <f ca="1">Time!AH64+"Ug1!Mf"</f>
        <v>#VALUE!</v>
      </c>
      <c r="ES14" t="e">
        <f ca="1">Time!AI64+"Ug1!Mg"</f>
        <v>#VALUE!</v>
      </c>
      <c r="ET14" t="e">
        <f ca="1">Time!AJ64+"Ug1!Mh"</f>
        <v>#VALUE!</v>
      </c>
      <c r="EU14" t="e">
        <f ca="1">Time!AK64+"Ug1!Mi"</f>
        <v>#VALUE!</v>
      </c>
      <c r="EV14" t="e">
        <f ca="1">Time!AL64+"Ug1!Mj"</f>
        <v>#VALUE!</v>
      </c>
      <c r="EW14" t="e">
        <f ca="1">Time!AM64+"Ug1!Mk"</f>
        <v>#VALUE!</v>
      </c>
      <c r="EX14" t="e">
        <f ca="1">Time!AN64+"Ug1!Ml"</f>
        <v>#VALUE!</v>
      </c>
      <c r="EY14" t="e">
        <f ca="1">Time!AO64+"Ug1!Mm"</f>
        <v>#VALUE!</v>
      </c>
      <c r="EZ14" t="e">
        <f ca="1">Time!AP64+"Ug1!Mn"</f>
        <v>#VALUE!</v>
      </c>
      <c r="FA14" t="e">
        <f ca="1">Time!AQ64+"Ug1!Mo"</f>
        <v>#VALUE!</v>
      </c>
      <c r="FB14" t="e">
        <f ca="1">Time!AR64+"Ug1!Mp"</f>
        <v>#VALUE!</v>
      </c>
      <c r="FC14" t="e">
        <f ca="1">Time!AS64+"Ug1!Mq"</f>
        <v>#VALUE!</v>
      </c>
      <c r="FD14" t="e">
        <f ca="1">Time!AT64+"Ug1!Mr"</f>
        <v>#VALUE!</v>
      </c>
      <c r="FE14" t="e">
        <f ca="1">Time!AU64+"Ug1!Ms"</f>
        <v>#VALUE!</v>
      </c>
      <c r="FF14" t="e">
        <f ca="1">Time!AV64+"Ug1!Mt"</f>
        <v>#VALUE!</v>
      </c>
      <c r="FG14" t="e">
        <f ca="1">Time!AW64+"Ug1!Mu"</f>
        <v>#VALUE!</v>
      </c>
      <c r="FH14" t="e">
        <f ca="1">Time!AX64+"Ug1!Mv"</f>
        <v>#VALUE!</v>
      </c>
      <c r="FI14" t="e">
        <f ca="1">Time!AY64+"Ug1!Mw"</f>
        <v>#VALUE!</v>
      </c>
      <c r="FJ14" t="e">
        <f ca="1">Time!AZ64+"Ug1!Mx"</f>
        <v>#VALUE!</v>
      </c>
      <c r="FK14" t="e">
        <f ca="1">Time!BA64+"Ug1!My"</f>
        <v>#VALUE!</v>
      </c>
      <c r="FL14" t="e">
        <f ca="1">Time!BB64+"Ug1!Mz"</f>
        <v>#VALUE!</v>
      </c>
      <c r="FM14" t="e">
        <f ca="1">Time!BC64+"Ug1!M{"</f>
        <v>#VALUE!</v>
      </c>
      <c r="FN14" t="e">
        <f ca="1">Time!BD64+"Ug1!M|"</f>
        <v>#VALUE!</v>
      </c>
      <c r="FO14" t="e">
        <f ca="1">Time!BE64+"Ug1!M}"</f>
        <v>#VALUE!</v>
      </c>
      <c r="FP14" t="e">
        <f ca="1">Time!BF64+"Ug1!M~"</f>
        <v>#VALUE!</v>
      </c>
      <c r="FQ14" t="e">
        <f ca="1">Time!BG64+"Ug1!N#"</f>
        <v>#VALUE!</v>
      </c>
      <c r="FR14" t="e">
        <f ca="1">Time!BH64+"Ug1!N$"</f>
        <v>#VALUE!</v>
      </c>
      <c r="FS14" t="e">
        <f ca="1">Time!BI64+"Ug1!N%"</f>
        <v>#VALUE!</v>
      </c>
      <c r="FT14" t="e">
        <f ca="1">Time!BJ64+"Ug1!N&amp;"</f>
        <v>#VALUE!</v>
      </c>
      <c r="FU14" t="e">
        <f ca="1">Time!BK64+"Ug1!N'"</f>
        <v>#VALUE!</v>
      </c>
      <c r="FV14" t="e">
        <f ca="1">Time!BL64+"Ug1!N("</f>
        <v>#VALUE!</v>
      </c>
      <c r="FW14" t="e">
        <f ca="1">Time!BM64+"Ug1!N)"</f>
        <v>#VALUE!</v>
      </c>
      <c r="FX14" t="e">
        <f ca="1">Time!BN64+"Ug1!N."</f>
        <v>#VALUE!</v>
      </c>
      <c r="FY14" t="e">
        <f ca="1">Time!BO64+"Ug1!N/"</f>
        <v>#VALUE!</v>
      </c>
      <c r="FZ14" t="e">
        <f ca="1">Time!BP64+"Ug1!N0"</f>
        <v>#VALUE!</v>
      </c>
      <c r="GA14" t="e">
        <f ca="1">Time!BQ64+"Ug1!N1"</f>
        <v>#VALUE!</v>
      </c>
      <c r="GB14" t="e">
        <f ca="1">Time!BR64+"Ug1!N2"</f>
        <v>#VALUE!</v>
      </c>
      <c r="GC14" t="e">
        <f ca="1">Time!BS64+"Ug1!N3"</f>
        <v>#VALUE!</v>
      </c>
      <c r="GD14" t="e">
        <f ca="1">Time!BT64+"Ug1!N4"</f>
        <v>#VALUE!</v>
      </c>
      <c r="GE14" t="e">
        <f ca="1">Time!BU64+"Ug1!N5"</f>
        <v>#VALUE!</v>
      </c>
      <c r="GF14" t="e">
        <f ca="1">Time!BV64+"Ug1!N6"</f>
        <v>#VALUE!</v>
      </c>
      <c r="GG14" t="e">
        <f ca="1">Time!BW64+"Ug1!N7"</f>
        <v>#VALUE!</v>
      </c>
      <c r="GH14" t="e">
        <f ca="1">Time!BX64+"Ug1!N8"</f>
        <v>#VALUE!</v>
      </c>
      <c r="GI14" t="e">
        <f ca="1">Time!BY64+"Ug1!N9"</f>
        <v>#VALUE!</v>
      </c>
      <c r="GJ14" t="e">
        <f ca="1">Time!A65+"Ug1!N:"</f>
        <v>#VALUE!</v>
      </c>
      <c r="GK14" t="e">
        <f ca="1">Time!B65+"Ug1!N;"</f>
        <v>#VALUE!</v>
      </c>
      <c r="GL14" t="e">
        <f ca="1">Time!C65+"Ug1!N&lt;"</f>
        <v>#VALUE!</v>
      </c>
      <c r="GM14" t="e">
        <f ca="1">Time!D65+"Ug1!N="</f>
        <v>#VALUE!</v>
      </c>
      <c r="GN14" t="e">
        <f ca="1">Time!E65+"Ug1!N&gt;"</f>
        <v>#VALUE!</v>
      </c>
      <c r="GO14" t="e">
        <f ca="1">Time!G65+"Ug1!N?"</f>
        <v>#VALUE!</v>
      </c>
      <c r="GP14" t="e">
        <f ca="1">Time!J65+"Ug1!N@"</f>
        <v>#VALUE!</v>
      </c>
      <c r="GQ14" t="e">
        <f ca="1">Time!K65+"Ug1!NA"</f>
        <v>#VALUE!</v>
      </c>
      <c r="GR14" t="e">
        <f ca="1">Time!L65+"Ug1!NB"</f>
        <v>#VALUE!</v>
      </c>
      <c r="GS14" t="e">
        <f ca="1">Time!M65+"Ug1!NC"</f>
        <v>#VALUE!</v>
      </c>
      <c r="GT14" t="e">
        <f ca="1">Time!N65+"Ug1!ND"</f>
        <v>#VALUE!</v>
      </c>
      <c r="GU14" t="e">
        <f ca="1">Time!O65+"Ug1!NE"</f>
        <v>#VALUE!</v>
      </c>
      <c r="GV14" t="e">
        <f ca="1">Time!P65+"Ug1!NF"</f>
        <v>#VALUE!</v>
      </c>
      <c r="GW14" t="e">
        <f ca="1">Time!Q65+"Ug1!NG"</f>
        <v>#VALUE!</v>
      </c>
      <c r="GX14" t="e">
        <f ca="1">Time!R65+"Ug1!NH"</f>
        <v>#VALUE!</v>
      </c>
      <c r="GY14" t="e">
        <f ca="1">Time!S65+"Ug1!NI"</f>
        <v>#VALUE!</v>
      </c>
      <c r="GZ14" t="e">
        <f ca="1">Time!T65+"Ug1!NJ"</f>
        <v>#VALUE!</v>
      </c>
      <c r="HA14" t="e">
        <f ca="1">Time!U65+"Ug1!NK"</f>
        <v>#VALUE!</v>
      </c>
      <c r="HB14" t="e">
        <f ca="1">Time!V65+"Ug1!NL"</f>
        <v>#VALUE!</v>
      </c>
      <c r="HC14" t="e">
        <f ca="1">Time!W65+"Ug1!NM"</f>
        <v>#VALUE!</v>
      </c>
      <c r="HD14" t="e">
        <f ca="1">Time!X65+"Ug1!NN"</f>
        <v>#VALUE!</v>
      </c>
      <c r="HE14" t="e">
        <f ca="1">Time!Y65+"Ug1!NO"</f>
        <v>#VALUE!</v>
      </c>
      <c r="HF14" t="e">
        <f ca="1">Time!Z65+"Ug1!NP"</f>
        <v>#VALUE!</v>
      </c>
      <c r="HG14" t="e">
        <f ca="1">Time!AA65+"Ug1!NQ"</f>
        <v>#VALUE!</v>
      </c>
      <c r="HH14" t="e">
        <f ca="1">Time!AB65+"Ug1!NR"</f>
        <v>#VALUE!</v>
      </c>
      <c r="HI14" t="e">
        <f ca="1">Time!AC65+"Ug1!NS"</f>
        <v>#VALUE!</v>
      </c>
      <c r="HJ14" t="e">
        <f ca="1">Time!AD65+"Ug1!NT"</f>
        <v>#VALUE!</v>
      </c>
      <c r="HK14" t="e">
        <f ca="1">Time!AE65+"Ug1!NU"</f>
        <v>#VALUE!</v>
      </c>
      <c r="HL14" t="e">
        <f ca="1">Time!AF65+"Ug1!NV"</f>
        <v>#VALUE!</v>
      </c>
      <c r="HM14" t="e">
        <f ca="1">Time!AG65+"Ug1!NW"</f>
        <v>#VALUE!</v>
      </c>
      <c r="HN14" t="e">
        <f ca="1">Time!AH65+"Ug1!NX"</f>
        <v>#VALUE!</v>
      </c>
      <c r="HO14" t="e">
        <f ca="1">Time!AI65+"Ug1!NY"</f>
        <v>#VALUE!</v>
      </c>
      <c r="HP14" t="e">
        <f ca="1">Time!AJ65+"Ug1!NZ"</f>
        <v>#VALUE!</v>
      </c>
      <c r="HQ14" t="e">
        <f ca="1">Time!AK65+"Ug1!N["</f>
        <v>#VALUE!</v>
      </c>
      <c r="HR14" t="e">
        <f ca="1">Time!AL65+"Ug1!N\"</f>
        <v>#VALUE!</v>
      </c>
      <c r="HS14" t="e">
        <f ca="1">Time!AM65+"Ug1!N]"</f>
        <v>#VALUE!</v>
      </c>
      <c r="HT14" t="e">
        <f ca="1">Time!AN65+"Ug1!N^"</f>
        <v>#VALUE!</v>
      </c>
      <c r="HU14" t="e">
        <f ca="1">Time!AO65+"Ug1!N_"</f>
        <v>#VALUE!</v>
      </c>
      <c r="HV14" t="e">
        <f ca="1">Time!AP65+"Ug1!N`"</f>
        <v>#VALUE!</v>
      </c>
      <c r="HW14" t="e">
        <f ca="1">Time!AQ65+"Ug1!Na"</f>
        <v>#VALUE!</v>
      </c>
      <c r="HX14" t="e">
        <f ca="1">Time!AR65+"Ug1!Nb"</f>
        <v>#VALUE!</v>
      </c>
      <c r="HY14" t="e">
        <f ca="1">Time!AS65+"Ug1!Nc"</f>
        <v>#VALUE!</v>
      </c>
      <c r="HZ14" t="e">
        <f ca="1">Time!AT65+"Ug1!Nd"</f>
        <v>#VALUE!</v>
      </c>
      <c r="IA14" t="e">
        <f ca="1">Time!AU65+"Ug1!Ne"</f>
        <v>#VALUE!</v>
      </c>
      <c r="IB14" t="e">
        <f ca="1">Time!AV65+"Ug1!Nf"</f>
        <v>#VALUE!</v>
      </c>
      <c r="IC14" t="e">
        <f ca="1">Time!AW65+"Ug1!Ng"</f>
        <v>#VALUE!</v>
      </c>
      <c r="ID14" t="e">
        <f ca="1">Time!AX65+"Ug1!Nh"</f>
        <v>#VALUE!</v>
      </c>
      <c r="IE14" t="e">
        <f ca="1">Time!AY65+"Ug1!Ni"</f>
        <v>#VALUE!</v>
      </c>
      <c r="IF14" t="e">
        <f ca="1">Time!AZ65+"Ug1!Nj"</f>
        <v>#VALUE!</v>
      </c>
      <c r="IG14" t="e">
        <f ca="1">Time!BA65+"Ug1!Nk"</f>
        <v>#VALUE!</v>
      </c>
      <c r="IH14" t="e">
        <f ca="1">Time!BB65+"Ug1!Nl"</f>
        <v>#VALUE!</v>
      </c>
      <c r="II14" t="e">
        <f ca="1">Time!BC65+"Ug1!Nm"</f>
        <v>#VALUE!</v>
      </c>
      <c r="IJ14" t="e">
        <f ca="1">Time!BD65+"Ug1!Nn"</f>
        <v>#VALUE!</v>
      </c>
      <c r="IK14" t="e">
        <f ca="1">Time!BE65+"Ug1!No"</f>
        <v>#VALUE!</v>
      </c>
      <c r="IL14" t="e">
        <f ca="1">Time!BF65+"Ug1!Np"</f>
        <v>#VALUE!</v>
      </c>
      <c r="IM14" t="e">
        <f ca="1">Time!BG65+"Ug1!Nq"</f>
        <v>#VALUE!</v>
      </c>
      <c r="IN14" t="e">
        <f ca="1">Time!BH65+"Ug1!Nr"</f>
        <v>#VALUE!</v>
      </c>
      <c r="IO14" t="e">
        <f ca="1">Time!BI65+"Ug1!Ns"</f>
        <v>#VALUE!</v>
      </c>
      <c r="IP14" t="e">
        <f ca="1">Time!BJ65+"Ug1!Nt"</f>
        <v>#VALUE!</v>
      </c>
      <c r="IQ14" t="e">
        <f ca="1">Time!BK65+"Ug1!Nu"</f>
        <v>#VALUE!</v>
      </c>
      <c r="IR14" t="e">
        <f ca="1">Time!BL65+"Ug1!Nv"</f>
        <v>#VALUE!</v>
      </c>
      <c r="IS14" t="e">
        <f ca="1">Time!BM65+"Ug1!Nw"</f>
        <v>#VALUE!</v>
      </c>
      <c r="IT14" t="e">
        <f ca="1">Time!BN65+"Ug1!Nx"</f>
        <v>#VALUE!</v>
      </c>
      <c r="IU14" t="e">
        <f ca="1">Time!BO65+"Ug1!Ny"</f>
        <v>#VALUE!</v>
      </c>
      <c r="IV14" t="e">
        <f ca="1">Time!BP65+"Ug1!Nz"</f>
        <v>#VALUE!</v>
      </c>
    </row>
    <row r="15" spans="1:256" x14ac:dyDescent="0.2">
      <c r="F15" t="e">
        <f ca="1">Time!BQ65+"Ug1!N{"</f>
        <v>#VALUE!</v>
      </c>
      <c r="G15" t="e">
        <f ca="1">Time!BR65+"Ug1!N|"</f>
        <v>#VALUE!</v>
      </c>
      <c r="H15" t="e">
        <f ca="1">Time!BS65+"Ug1!N}"</f>
        <v>#VALUE!</v>
      </c>
      <c r="I15" t="e">
        <f ca="1">Time!BT65+"Ug1!N~"</f>
        <v>#VALUE!</v>
      </c>
      <c r="J15" t="e">
        <f ca="1">Time!BU65+"Ug1!O#"</f>
        <v>#VALUE!</v>
      </c>
      <c r="K15" t="e">
        <f ca="1">Time!BV65+"Ug1!O$"</f>
        <v>#VALUE!</v>
      </c>
      <c r="L15" t="e">
        <f ca="1">Time!BW65+"Ug1!O%"</f>
        <v>#VALUE!</v>
      </c>
      <c r="M15" t="e">
        <f ca="1">Time!BX65+"Ug1!O&amp;"</f>
        <v>#VALUE!</v>
      </c>
      <c r="N15" t="e">
        <f ca="1">Time!BY65+"Ug1!O'"</f>
        <v>#VALUE!</v>
      </c>
      <c r="O15" t="e">
        <f ca="1">EfW!A:A*"Ug1!O("</f>
        <v>#VALUE!</v>
      </c>
      <c r="P15" t="e">
        <f ca="1">EfW!B:B*"Ug1!O)"</f>
        <v>#VALUE!</v>
      </c>
      <c r="Q15" t="e">
        <f ca="1">EfW!C:C*"Ug1!O."</f>
        <v>#VALUE!</v>
      </c>
      <c r="R15" t="e">
        <f ca="1">EfW!D:D*"Ug1!O/"</f>
        <v>#VALUE!</v>
      </c>
      <c r="S15" t="e">
        <f ca="1">EfW!E:E*"Ug1!O0"</f>
        <v>#VALUE!</v>
      </c>
      <c r="T15" t="e">
        <f ca="1">EfW!F:F*"Ug1!O1"</f>
        <v>#VALUE!</v>
      </c>
      <c r="U15" t="e">
        <f ca="1">EfW!G:G*"Ug1!O2"</f>
        <v>#VALUE!</v>
      </c>
      <c r="V15" t="e">
        <f ca="1">EfW!H:H*"Ug1!O3"</f>
        <v>#VALUE!</v>
      </c>
      <c r="W15" t="e">
        <f ca="1">EfW!I:I*"Ug1!O4"</f>
        <v>#VALUE!</v>
      </c>
      <c r="X15" t="e">
        <f ca="1">EfW!J:J*"Ug1!O5"</f>
        <v>#VALUE!</v>
      </c>
      <c r="Y15" t="e">
        <f ca="1">EfW!K:K*"Ug1!O6"</f>
        <v>#VALUE!</v>
      </c>
      <c r="Z15" t="e">
        <f ca="1">EfW!L:L*"Ug1!O7"</f>
        <v>#VALUE!</v>
      </c>
      <c r="AA15" t="e">
        <f ca="1">EfW!M:M*"Ug1!O8"</f>
        <v>#VALUE!</v>
      </c>
      <c r="AB15" t="e">
        <f ca="1">EfW!N:N*"Ug1!O9"</f>
        <v>#VALUE!</v>
      </c>
      <c r="AC15" t="e">
        <f ca="1">EfW!O:O*"Ug1!O:"</f>
        <v>#VALUE!</v>
      </c>
      <c r="AD15" t="e">
        <f ca="1">EfW!P:P*"Ug1!O;"</f>
        <v>#VALUE!</v>
      </c>
      <c r="AE15" t="e">
        <f ca="1">EfW!Q:Q*"Ug1!O&lt;"</f>
        <v>#VALUE!</v>
      </c>
      <c r="AF15" t="e">
        <f ca="1">EfW!R:R*"Ug1!O="</f>
        <v>#VALUE!</v>
      </c>
      <c r="AG15" t="e">
        <f ca="1">EfW!S:S*"Ug1!O&gt;"</f>
        <v>#VALUE!</v>
      </c>
      <c r="AH15" t="e">
        <f ca="1">EfW!T:T*"Ug1!O?"</f>
        <v>#VALUE!</v>
      </c>
      <c r="AI15" t="e">
        <f ca="1">EfW!U:U*"Ug1!O@"</f>
        <v>#VALUE!</v>
      </c>
      <c r="AJ15" t="e">
        <f ca="1">EfW!V:V*"Ug1!OA"</f>
        <v>#VALUE!</v>
      </c>
      <c r="AK15" t="e">
        <f ca="1">EfW!W:W*"Ug1!OB"</f>
        <v>#VALUE!</v>
      </c>
      <c r="AL15" t="e">
        <f ca="1">EfW!X:X*"Ug1!OC"</f>
        <v>#VALUE!</v>
      </c>
      <c r="AM15" t="e">
        <f ca="1">EfW!Y:Y*"Ug1!OD"</f>
        <v>#VALUE!</v>
      </c>
      <c r="AN15" t="e">
        <f ca="1">EfW!Z:Z*"Ug1!OE"</f>
        <v>#VALUE!</v>
      </c>
      <c r="AO15" t="e">
        <f ca="1">EfW!AA:AA*"Ug1!OF"</f>
        <v>#VALUE!</v>
      </c>
      <c r="AP15" t="e">
        <f ca="1">EfW!AB:AB*"Ug1!OG"</f>
        <v>#VALUE!</v>
      </c>
      <c r="AQ15" t="e">
        <f ca="1">EfW!AC:AC*"Ug1!OH"</f>
        <v>#VALUE!</v>
      </c>
      <c r="AR15" t="e">
        <f ca="1">EfW!AD:AD*"Ug1!OI"</f>
        <v>#VALUE!</v>
      </c>
      <c r="AS15" t="e">
        <f ca="1">EfW!AE:AE*"Ug1!OJ"</f>
        <v>#VALUE!</v>
      </c>
      <c r="AT15" t="e">
        <f ca="1">EfW!AF:AF*"Ug1!OK"</f>
        <v>#VALUE!</v>
      </c>
      <c r="AU15" t="e">
        <f ca="1">EfW!AG:AG*"Ug1!OL"</f>
        <v>#VALUE!</v>
      </c>
      <c r="AV15" t="e">
        <f ca="1">EfW!AH:AH*"Ug1!OM"</f>
        <v>#VALUE!</v>
      </c>
      <c r="AW15" t="e">
        <f ca="1">EfW!AI:AI*"Ug1!ON"</f>
        <v>#VALUE!</v>
      </c>
      <c r="AX15" t="e">
        <f ca="1">EfW!AJ:AJ*"Ug1!OO"</f>
        <v>#VALUE!</v>
      </c>
      <c r="AY15" t="e">
        <f ca="1">EfW!AK:AK*"Ug1!OP"</f>
        <v>#VALUE!</v>
      </c>
      <c r="AZ15" t="e">
        <f ca="1">EfW!AL:AL*"Ug1!OQ"</f>
        <v>#VALUE!</v>
      </c>
      <c r="BA15" t="e">
        <f ca="1">EfW!AM:AM*"Ug1!OR"</f>
        <v>#VALUE!</v>
      </c>
      <c r="BB15" t="e">
        <f ca="1">EfW!AN:AN*"Ug1!OS"</f>
        <v>#VALUE!</v>
      </c>
      <c r="BC15" t="e">
        <f ca="1">EfW!AO:AO*"Ug1!OT"</f>
        <v>#VALUE!</v>
      </c>
      <c r="BD15" t="e">
        <f ca="1">EfW!AP:AP*"Ug1!OU"</f>
        <v>#VALUE!</v>
      </c>
      <c r="BE15" t="e">
        <f ca="1">EfW!AQ:AQ*"Ug1!OV"</f>
        <v>#VALUE!</v>
      </c>
      <c r="BF15" t="e">
        <f ca="1">EfW!AR:AR*"Ug1!OW"</f>
        <v>#VALUE!</v>
      </c>
      <c r="BG15" t="e">
        <f ca="1">EfW!AS:AS*"Ug1!OX"</f>
        <v>#VALUE!</v>
      </c>
      <c r="BH15" t="e">
        <f ca="1">EfW!AT:AT*"Ug1!OY"</f>
        <v>#VALUE!</v>
      </c>
      <c r="BI15" t="e">
        <f ca="1">EfW!AU:AU*"Ug1!OZ"</f>
        <v>#VALUE!</v>
      </c>
      <c r="BJ15" t="e">
        <f ca="1">EfW!AV:AV*"Ug1!O["</f>
        <v>#VALUE!</v>
      </c>
      <c r="BK15" t="e">
        <f ca="1">EfW!AW:AW*"Ug1!O\"</f>
        <v>#VALUE!</v>
      </c>
      <c r="BL15" t="e">
        <f ca="1">EfW!AX:AX*"Ug1!O]"</f>
        <v>#VALUE!</v>
      </c>
      <c r="BM15" t="e">
        <f ca="1">EfW!AY:AY*"Ug1!O^"</f>
        <v>#VALUE!</v>
      </c>
      <c r="BN15" t="e">
        <f ca="1">EfW!AZ:AZ*"Ug1!O_"</f>
        <v>#VALUE!</v>
      </c>
      <c r="BO15" t="e">
        <f ca="1">EfW!BA:BA*"Ug1!O`"</f>
        <v>#VALUE!</v>
      </c>
      <c r="BP15" t="e">
        <f ca="1">EfW!BB:BB*"Ug1!Oa"</f>
        <v>#VALUE!</v>
      </c>
      <c r="BQ15" t="e">
        <f ca="1">EfW!BC:BC*"Ug1!Ob"</f>
        <v>#VALUE!</v>
      </c>
      <c r="BR15" t="e">
        <f ca="1">EfW!BD:BD*"Ug1!Oc"</f>
        <v>#VALUE!</v>
      </c>
      <c r="BS15" t="e">
        <f ca="1">EfW!BE:BE*"Ug1!Od"</f>
        <v>#VALUE!</v>
      </c>
      <c r="BT15" t="e">
        <f ca="1">EfW!BF:BF*"Ug1!Oe"</f>
        <v>#VALUE!</v>
      </c>
      <c r="BU15" t="e">
        <f ca="1">EfW!BG:BG*"Ug1!Of"</f>
        <v>#VALUE!</v>
      </c>
      <c r="BV15" t="e">
        <f ca="1">EfW!BH:BH*"Ug1!Og"</f>
        <v>#VALUE!</v>
      </c>
      <c r="BW15" t="e">
        <f ca="1">EfW!BI:BI*"Ug1!Oh"</f>
        <v>#VALUE!</v>
      </c>
      <c r="BX15" t="e">
        <f ca="1">EfW!BJ:BJ*"Ug1!Oi"</f>
        <v>#VALUE!</v>
      </c>
      <c r="BY15" t="e">
        <f ca="1">EfW!BK:BK*"Ug1!Oj"</f>
        <v>#VALUE!</v>
      </c>
      <c r="BZ15" t="e">
        <f ca="1">EfW!BL:BL*"Ug1!Ok"</f>
        <v>#VALUE!</v>
      </c>
      <c r="CA15" t="e">
        <f ca="1">EfW!BM:BM*"Ug1!Ol"</f>
        <v>#VALUE!</v>
      </c>
      <c r="CB15" t="e">
        <f ca="1">EfW!BN:BN*"Ug1!Om"</f>
        <v>#VALUE!</v>
      </c>
      <c r="CC15" t="e">
        <f ca="1">EfW!BO:BO*"Ug1!On"</f>
        <v>#VALUE!</v>
      </c>
      <c r="CD15" t="e">
        <f ca="1">EfW!BP:BP*"Ug1!Oo"</f>
        <v>#VALUE!</v>
      </c>
      <c r="CE15" t="e">
        <f ca="1">EfW!BQ:BQ*"Ug1!Op"</f>
        <v>#VALUE!</v>
      </c>
      <c r="CF15" t="e">
        <f ca="1">EfW!BR:BR*"Ug1!Oq"</f>
        <v>#VALUE!</v>
      </c>
      <c r="CG15" t="e">
        <f ca="1">EfW!BS:BS*"Ug1!Or"</f>
        <v>#VALUE!</v>
      </c>
      <c r="CH15" t="e">
        <f ca="1">EfW!BT:BT*"Ug1!Os"</f>
        <v>#VALUE!</v>
      </c>
      <c r="CI15" t="e">
        <f ca="1">EfW!BU:BU*"Ug1!Ot"</f>
        <v>#VALUE!</v>
      </c>
      <c r="CJ15" t="e">
        <f ca="1">EfW!BV:BV*"Ug1!Ou"</f>
        <v>#VALUE!</v>
      </c>
      <c r="CK15" t="e">
        <f ca="1">EfW!BW:BW*"Ug1!Ov"</f>
        <v>#VALUE!</v>
      </c>
      <c r="CL15" t="e">
        <f ca="1">EfW!BX:BX*"Ug1!Ow"</f>
        <v>#VALUE!</v>
      </c>
      <c r="CM15" t="e">
        <f ca="1">EfW!BY:BY*"Ug1!Ox"</f>
        <v>#VALUE!</v>
      </c>
      <c r="CN15" t="e">
        <f ca="1">EfW!BZ:BZ*"Ug1!Oy"</f>
        <v>#VALUE!</v>
      </c>
      <c r="CO15" t="e">
        <f ca="1">EfW!CA:CA*"Ug1!Oz"</f>
        <v>#VALUE!</v>
      </c>
      <c r="CP15" t="e">
        <f ca="1">EfW!CB:CB*"Ug1!O{"</f>
        <v>#VALUE!</v>
      </c>
      <c r="CQ15" t="e">
        <f ca="1">EfW!CC:CC*"Ug1!O|"</f>
        <v>#VALUE!</v>
      </c>
      <c r="CR15" t="e">
        <f ca="1">EfW!CD:CD*"Ug1!O}"</f>
        <v>#VALUE!</v>
      </c>
      <c r="CS15" t="e">
        <f ca="1">EfW!CE:CE*"Ug1!O~"</f>
        <v>#VALUE!</v>
      </c>
      <c r="CT15" t="e">
        <f ca="1">EfW!CF:CF*"Ug1!P#"</f>
        <v>#VALUE!</v>
      </c>
      <c r="CU15" t="e">
        <f ca="1">EfW!CG:CG*"Ug1!P$"</f>
        <v>#VALUE!</v>
      </c>
      <c r="CV15" t="e">
        <f ca="1">EfW!CH:CH*"Ug1!P%"</f>
        <v>#VALUE!</v>
      </c>
      <c r="CW15" t="e">
        <f ca="1">EfW!CI:CI*"Ug1!P&amp;"</f>
        <v>#VALUE!</v>
      </c>
      <c r="CX15" t="e">
        <f ca="1">EfW!CJ:CJ*"Ug1!P'"</f>
        <v>#VALUE!</v>
      </c>
      <c r="CY15" t="e">
        <f ca="1">EfW!CK:CK*"Ug1!P("</f>
        <v>#VALUE!</v>
      </c>
      <c r="CZ15" t="e">
        <f ca="1">EfW!CL:CL*"Ug1!P)"</f>
        <v>#VALUE!</v>
      </c>
      <c r="DA15" t="e">
        <f ca="1">EfW!CM:CM*"Ug1!P."</f>
        <v>#VALUE!</v>
      </c>
      <c r="DB15" t="e">
        <f ca="1">EfW!CN:CN*"Ug1!P/"</f>
        <v>#VALUE!</v>
      </c>
      <c r="DC15" t="e">
        <f ca="1">EfW!CO:CO*"Ug1!P0"</f>
        <v>#VALUE!</v>
      </c>
      <c r="DD15" t="e">
        <f ca="1">EfW!CP:CP*"Ug1!P1"</f>
        <v>#VALUE!</v>
      </c>
      <c r="DE15" t="e">
        <f ca="1">EfW!CQ:CQ*"Ug1!P2"</f>
        <v>#VALUE!</v>
      </c>
      <c r="DF15" t="e">
        <f ca="1">EfW!CR:CR*"Ug1!P3"</f>
        <v>#VALUE!</v>
      </c>
      <c r="DG15" t="e">
        <f ca="1">EfW!CS:CS*"Ug1!P4"</f>
        <v>#VALUE!</v>
      </c>
      <c r="DH15" t="e">
        <f ca="1">EfW!CT:CT*"Ug1!P5"</f>
        <v>#VALUE!</v>
      </c>
      <c r="DI15" t="e">
        <f ca="1">EfW!CU:CU*"Ug1!P6"</f>
        <v>#VALUE!</v>
      </c>
      <c r="DJ15" t="e">
        <f ca="1">EfW!CV:CV*"Ug1!P7"</f>
        <v>#VALUE!</v>
      </c>
      <c r="DK15" t="e">
        <f ca="1">EfW!CW:CW*"Ug1!P8"</f>
        <v>#VALUE!</v>
      </c>
      <c r="DL15" t="e">
        <f ca="1">EfW!CX:CX*"Ug1!P9"</f>
        <v>#VALUE!</v>
      </c>
      <c r="DM15" t="e">
        <f ca="1">EfW!CY:CY*"Ug1!P:"</f>
        <v>#VALUE!</v>
      </c>
      <c r="DN15" t="e">
        <f ca="1">EfW!CZ:CZ*"Ug1!P;"</f>
        <v>#VALUE!</v>
      </c>
      <c r="DO15" t="e">
        <f ca="1">EfW!DA:DA*"Ug1!P&lt;"</f>
        <v>#VALUE!</v>
      </c>
      <c r="DP15" t="e">
        <f ca="1">EfW!DB:DB*"Ug1!P="</f>
        <v>#VALUE!</v>
      </c>
      <c r="DQ15" t="e">
        <f ca="1">EfW!DC:DC*"Ug1!P&gt;"</f>
        <v>#VALUE!</v>
      </c>
      <c r="DR15" t="e">
        <f ca="1">EfW!DD:DD*"Ug1!P?"</f>
        <v>#VALUE!</v>
      </c>
      <c r="DS15" t="e">
        <f ca="1">EfW!DE:DE*"Ug1!P@"</f>
        <v>#VALUE!</v>
      </c>
      <c r="DT15" t="e">
        <f ca="1">EfW!DF:DF*"Ug1!PA"</f>
        <v>#VALUE!</v>
      </c>
      <c r="DU15" t="e">
        <f ca="1">EfW!DG:DG*"Ug1!PB"</f>
        <v>#VALUE!</v>
      </c>
      <c r="DV15" t="e">
        <f ca="1">EfW!DH:DH*"Ug1!PC"</f>
        <v>#VALUE!</v>
      </c>
      <c r="DW15" t="e">
        <f ca="1">EfW!DI:DI*"Ug1!PD"</f>
        <v>#VALUE!</v>
      </c>
      <c r="DX15" t="e">
        <f ca="1">EfW!DJ:DJ*"Ug1!PE"</f>
        <v>#VALUE!</v>
      </c>
      <c r="DY15" t="e">
        <f ca="1">EfW!DK:DK*"Ug1!PF"</f>
        <v>#VALUE!</v>
      </c>
      <c r="DZ15" t="e">
        <f ca="1">EfW!DL:DL*"Ug1!PG"</f>
        <v>#VALUE!</v>
      </c>
      <c r="EA15" t="e">
        <f ca="1">EfW!DM:DM*"Ug1!PH"</f>
        <v>#VALUE!</v>
      </c>
      <c r="EB15" t="e">
        <f ca="1">EfW!DN:DN*"Ug1!PI"</f>
        <v>#VALUE!</v>
      </c>
      <c r="EC15" t="e">
        <f ca="1">EfW!DO:DO*"Ug1!PJ"</f>
        <v>#VALUE!</v>
      </c>
      <c r="ED15" t="e">
        <f ca="1">EfW!DP:DP*"Ug1!PK"</f>
        <v>#VALUE!</v>
      </c>
      <c r="EE15" t="e">
        <f ca="1">EfW!DQ:DQ*"Ug1!PL"</f>
        <v>#VALUE!</v>
      </c>
      <c r="EF15" t="e">
        <f ca="1">EfW!DR:DR*"Ug1!PM"</f>
        <v>#VALUE!</v>
      </c>
      <c r="EG15" t="e">
        <f ca="1">EfW!DS:DS*"Ug1!PN"</f>
        <v>#VALUE!</v>
      </c>
      <c r="EH15" t="e">
        <f ca="1">EfW!DT:DT*"Ug1!PO"</f>
        <v>#VALUE!</v>
      </c>
      <c r="EI15" t="e">
        <f ca="1">EfW!DU:DU*"Ug1!PP"</f>
        <v>#VALUE!</v>
      </c>
      <c r="EJ15" t="e">
        <f ca="1">EfW!DV:DV*"Ug1!PQ"</f>
        <v>#VALUE!</v>
      </c>
      <c r="EK15" t="e">
        <f ca="1">EfW!DW:DW*"Ug1!PR"</f>
        <v>#VALUE!</v>
      </c>
      <c r="EL15" t="e">
        <f ca="1">EfW!DX:DX*"Ug1!PS"</f>
        <v>#VALUE!</v>
      </c>
      <c r="EM15" t="e">
        <f ca="1">EfW!DY:DY*"Ug1!PT"</f>
        <v>#VALUE!</v>
      </c>
      <c r="EN15" t="e">
        <f ca="1">EfW!DZ:DZ*"Ug1!PU"</f>
        <v>#VALUE!</v>
      </c>
      <c r="EO15" t="e">
        <f ca="1">EfW!EA:EA*"Ug1!PV"</f>
        <v>#VALUE!</v>
      </c>
      <c r="EP15" t="e">
        <f ca="1">EfW!1:1-"Ug1!PW"</f>
        <v>#VALUE!</v>
      </c>
      <c r="EQ15" t="e">
        <f ca="1">EfW!2:2-"Ug1!PX"</f>
        <v>#VALUE!</v>
      </c>
      <c r="ER15" t="e">
        <f ca="1">EfW!3:3-"Ug1!PY"</f>
        <v>#VALUE!</v>
      </c>
      <c r="ES15" t="e">
        <f ca="1">EfW!4:4-"Ug1!PZ"</f>
        <v>#VALUE!</v>
      </c>
      <c r="ET15" t="e">
        <f ca="1">EfW!5:5-"Ug1!P["</f>
        <v>#VALUE!</v>
      </c>
      <c r="EU15" t="e">
        <f ca="1">EfW!6:6-"Ug1!P\"</f>
        <v>#VALUE!</v>
      </c>
      <c r="EV15" t="e">
        <f ca="1">EfW!7:7-"Ug1!P]"</f>
        <v>#VALUE!</v>
      </c>
      <c r="EW15" t="e">
        <f ca="1">EfW!8:8-"Ug1!P^"</f>
        <v>#VALUE!</v>
      </c>
      <c r="EX15" t="e">
        <f ca="1">EfW!9:9-"Ug1!P_"</f>
        <v>#VALUE!</v>
      </c>
      <c r="EY15" t="e">
        <f ca="1">EfW!10:10-"Ug1!P`"</f>
        <v>#VALUE!</v>
      </c>
      <c r="EZ15" t="e">
        <f ca="1">EfW!11:11-"Ug1!Pa"</f>
        <v>#VALUE!</v>
      </c>
      <c r="FA15" t="e">
        <f ca="1">EfW!12:12-"Ug1!Pb"</f>
        <v>#VALUE!</v>
      </c>
      <c r="FB15" t="e">
        <f ca="1">EfW!13:13-"Ug1!Pc"</f>
        <v>#VALUE!</v>
      </c>
      <c r="FC15" t="e">
        <f ca="1">EfW!14:14-"Ug1!Pd"</f>
        <v>#VALUE!</v>
      </c>
      <c r="FD15" t="e">
        <f ca="1">EfW!15:15-"Ug1!Pe"</f>
        <v>#VALUE!</v>
      </c>
      <c r="FE15" t="e">
        <f ca="1">EfW!16:16-"Ug1!Pf"</f>
        <v>#VALUE!</v>
      </c>
      <c r="FF15" t="e">
        <f ca="1">EfW!17:17-"Ug1!Pg"</f>
        <v>#VALUE!</v>
      </c>
      <c r="FG15" t="e">
        <f ca="1">EfW!18:18-"Ug1!Ph"</f>
        <v>#VALUE!</v>
      </c>
      <c r="FH15" t="e">
        <f ca="1">EfW!19:19-"Ug1!Pi"</f>
        <v>#VALUE!</v>
      </c>
      <c r="FI15" t="e">
        <f ca="1">EfW!20:20-"Ug1!Pj"</f>
        <v>#VALUE!</v>
      </c>
      <c r="FJ15" t="e">
        <f ca="1">EfW!21:21-"Ug1!Pk"</f>
        <v>#VALUE!</v>
      </c>
      <c r="FK15" t="e">
        <f ca="1">EfW!22:22-"Ug1!Pl"</f>
        <v>#VALUE!</v>
      </c>
      <c r="FL15" t="e">
        <f ca="1">EfW!23:23-"Ug1!Pm"</f>
        <v>#VALUE!</v>
      </c>
      <c r="FM15" t="e">
        <f ca="1">EfW!24:24-"Ug1!Pn"</f>
        <v>#VALUE!</v>
      </c>
      <c r="FN15" t="e">
        <f ca="1">EfW!25:25-"Ug1!Po"</f>
        <v>#VALUE!</v>
      </c>
      <c r="FO15" t="e">
        <f ca="1">EfW!26:26-"Ug1!Pp"</f>
        <v>#VALUE!</v>
      </c>
      <c r="FP15" t="e">
        <f ca="1">EfW!27:27-"Ug1!Pq"</f>
        <v>#VALUE!</v>
      </c>
      <c r="FQ15" t="e">
        <f ca="1">EfW!28:28-"Ug1!Pr"</f>
        <v>#VALUE!</v>
      </c>
      <c r="FR15" t="e">
        <f ca="1">EfW!29:29-"Ug1!Ps"</f>
        <v>#VALUE!</v>
      </c>
      <c r="FS15" t="e">
        <f ca="1">EfW!30:30-"Ug1!Pt"</f>
        <v>#VALUE!</v>
      </c>
      <c r="FT15" t="e">
        <f ca="1">EfW!31:31-"Ug1!Pu"</f>
        <v>#VALUE!</v>
      </c>
      <c r="FU15" t="e">
        <f ca="1">EfW!32:32-"Ug1!Pv"</f>
        <v>#VALUE!</v>
      </c>
      <c r="FV15" t="e">
        <f ca="1">EfW!33:33-"Ug1!Pw"</f>
        <v>#VALUE!</v>
      </c>
      <c r="FW15" t="e">
        <f ca="1">EfW!34:34-"Ug1!Px"</f>
        <v>#VALUE!</v>
      </c>
      <c r="FX15" t="e">
        <f ca="1">EfW!35:35-"Ug1!Py"</f>
        <v>#VALUE!</v>
      </c>
      <c r="FY15" t="e">
        <f ca="1">EfW!36:36-"Ug1!Pz"</f>
        <v>#VALUE!</v>
      </c>
      <c r="FZ15" t="e">
        <f ca="1">EfW!37:37-"Ug1!P{"</f>
        <v>#VALUE!</v>
      </c>
      <c r="GA15" t="e">
        <f ca="1">EfW!38:38-"Ug1!P|"</f>
        <v>#VALUE!</v>
      </c>
      <c r="GB15" t="e">
        <f ca="1">EfW!39:39-"Ug1!P}"</f>
        <v>#VALUE!</v>
      </c>
      <c r="GC15" t="e">
        <f ca="1">EfW!40:40-"Ug1!P~"</f>
        <v>#VALUE!</v>
      </c>
      <c r="GD15" t="e">
        <f ca="1">EfW!41:41-"Ug1!Q#"</f>
        <v>#VALUE!</v>
      </c>
      <c r="GE15" t="e">
        <f ca="1">EfW!42:42-"Ug1!Q$"</f>
        <v>#VALUE!</v>
      </c>
      <c r="GF15" t="e">
        <f ca="1">EfW!43:43-"Ug1!Q%"</f>
        <v>#VALUE!</v>
      </c>
      <c r="GG15" t="e">
        <f ca="1">EfW!44:44-"Ug1!Q&amp;"</f>
        <v>#VALUE!</v>
      </c>
      <c r="GH15" t="e">
        <f ca="1">EfW!45:45-"Ug1!Q'"</f>
        <v>#VALUE!</v>
      </c>
      <c r="GI15" t="e">
        <f ca="1">EfW!46:46-"Ug1!Q("</f>
        <v>#VALUE!</v>
      </c>
      <c r="GJ15" t="e">
        <f ca="1">EfW!47:47-"Ug1!Q)"</f>
        <v>#VALUE!</v>
      </c>
      <c r="GK15" t="e">
        <f ca="1">EfW!48:48-"Ug1!Q."</f>
        <v>#VALUE!</v>
      </c>
      <c r="GL15" t="e">
        <f ca="1">EfW!49:49-"Ug1!Q/"</f>
        <v>#VALUE!</v>
      </c>
      <c r="GM15" t="e">
        <f ca="1">EfW!50:50-"Ug1!Q0"</f>
        <v>#VALUE!</v>
      </c>
      <c r="GN15" t="e">
        <f ca="1">EfW!51:51-"Ug1!Q1"</f>
        <v>#VALUE!</v>
      </c>
      <c r="GO15" t="e">
        <f ca="1">EfW!52:52-"Ug1!Q2"</f>
        <v>#VALUE!</v>
      </c>
      <c r="GP15" t="e">
        <f ca="1">EfW!53:53-"Ug1!Q3"</f>
        <v>#VALUE!</v>
      </c>
      <c r="GQ15" t="e">
        <f ca="1">EfW!54:54-"Ug1!Q4"</f>
        <v>#VALUE!</v>
      </c>
      <c r="GR15" t="e">
        <f ca="1">EfW!55:55-"Ug1!Q5"</f>
        <v>#VALUE!</v>
      </c>
      <c r="GS15" t="e">
        <f ca="1">EfW!56:56-"Ug1!Q6"</f>
        <v>#VALUE!</v>
      </c>
      <c r="GT15" t="e">
        <f ca="1">EfW!57:57-"Ug1!Q7"</f>
        <v>#VALUE!</v>
      </c>
      <c r="GU15" t="e">
        <f ca="1">EfW!58:58-"Ug1!Q8"</f>
        <v>#VALUE!</v>
      </c>
      <c r="GV15" t="e">
        <f ca="1">EfW!59:59-"Ug1!Q9"</f>
        <v>#VALUE!</v>
      </c>
      <c r="GW15" t="e">
        <f ca="1">EfW!60:60-"Ug1!Q:"</f>
        <v>#VALUE!</v>
      </c>
      <c r="GX15" t="e">
        <f ca="1">EfW!61:61-"Ug1!Q;"</f>
        <v>#VALUE!</v>
      </c>
      <c r="GY15" t="e">
        <f ca="1">EfW!62:62-"Ug1!Q&lt;"</f>
        <v>#VALUE!</v>
      </c>
      <c r="GZ15" t="e">
        <f ca="1">EfW!63:63-"Ug1!Q="</f>
        <v>#VALUE!</v>
      </c>
      <c r="HA15" t="e">
        <f ca="1">EfW!64:64-"Ug1!Q&gt;"</f>
        <v>#VALUE!</v>
      </c>
      <c r="HB15" t="e">
        <f ca="1">EfW!65:65-"Ug1!Q?"</f>
        <v>#VALUE!</v>
      </c>
      <c r="HC15" t="e">
        <f ca="1">EfW!66:66-"Ug1!Q@"</f>
        <v>#VALUE!</v>
      </c>
      <c r="HD15" t="e">
        <f ca="1">EfW!67:67-"Ug1!QA"</f>
        <v>#VALUE!</v>
      </c>
      <c r="HE15" t="e">
        <f ca="1">EfW!68:68-"Ug1!QB"</f>
        <v>#VALUE!</v>
      </c>
      <c r="HF15" t="e">
        <f ca="1">EfW!69:69-"Ug1!QC"</f>
        <v>#VALUE!</v>
      </c>
      <c r="HG15" t="e">
        <f ca="1">EfW!70:70-"Ug1!QD"</f>
        <v>#VALUE!</v>
      </c>
      <c r="HH15" t="e">
        <f ca="1">EfW!71:71-"Ug1!QE"</f>
        <v>#VALUE!</v>
      </c>
      <c r="HI15" t="e">
        <f ca="1">EfW!72:72-"Ug1!QF"</f>
        <v>#VALUE!</v>
      </c>
      <c r="HJ15" t="e">
        <f ca="1">EfW!73:73-"Ug1!QG"</f>
        <v>#VALUE!</v>
      </c>
      <c r="HK15" t="e">
        <f ca="1">EfW!74:74-"Ug1!QH"</f>
        <v>#VALUE!</v>
      </c>
      <c r="HL15" t="e">
        <f ca="1">EfW!75:75-"Ug1!QI"</f>
        <v>#VALUE!</v>
      </c>
      <c r="HM15" t="e">
        <f ca="1">EfW!76:76-"Ug1!QJ"</f>
        <v>#VALUE!</v>
      </c>
      <c r="HN15" t="e">
        <f ca="1">EfW!77:77-"Ug1!QK"</f>
        <v>#VALUE!</v>
      </c>
      <c r="HO15" t="e">
        <f ca="1">EfW!78:78-"Ug1!QL"</f>
        <v>#VALUE!</v>
      </c>
      <c r="HP15" t="e">
        <f ca="1">EfW!79:79-"Ug1!QM"</f>
        <v>#VALUE!</v>
      </c>
      <c r="HQ15" t="e">
        <f ca="1">EfW!80:80-"Ug1!QN"</f>
        <v>#VALUE!</v>
      </c>
      <c r="HR15" t="e">
        <f ca="1">EfW!81:81-"Ug1!QO"</f>
        <v>#VALUE!</v>
      </c>
      <c r="HS15" t="e">
        <f ca="1">EfW!82:82-"Ug1!QP"</f>
        <v>#VALUE!</v>
      </c>
      <c r="HT15" t="e">
        <f ca="1">EfW!83:83-"Ug1!QQ"</f>
        <v>#VALUE!</v>
      </c>
      <c r="HU15" t="e">
        <f ca="1">EfW!84:84-"Ug1!QR"</f>
        <v>#VALUE!</v>
      </c>
      <c r="HV15" t="e">
        <f ca="1">EfW!85:85-"Ug1!QS"</f>
        <v>#VALUE!</v>
      </c>
      <c r="HW15" t="e">
        <f ca="1">EfW!86:86-"Ug1!QT"</f>
        <v>#VALUE!</v>
      </c>
      <c r="HX15" t="e">
        <f ca="1">EfW!87:87-"Ug1!QU"</f>
        <v>#VALUE!</v>
      </c>
      <c r="HY15" t="e">
        <f ca="1">EfW!88:88-"Ug1!QV"</f>
        <v>#VALUE!</v>
      </c>
      <c r="HZ15" t="e">
        <f ca="1">EfW!89:89-"Ug1!QW"</f>
        <v>#VALUE!</v>
      </c>
      <c r="IA15" t="e">
        <f ca="1">EfW!90:90-"Ug1!QX"</f>
        <v>#VALUE!</v>
      </c>
      <c r="IB15" t="e">
        <f ca="1">EfW!91:91-"Ug1!QY"</f>
        <v>#VALUE!</v>
      </c>
      <c r="IC15" t="e">
        <f ca="1">EfW!92:92-"Ug1!QZ"</f>
        <v>#VALUE!</v>
      </c>
      <c r="ID15" t="e">
        <f ca="1">EfW!93:93-"Ug1!Q["</f>
        <v>#VALUE!</v>
      </c>
      <c r="IE15" t="e">
        <f ca="1">EfW!94:94-"Ug1!Q\"</f>
        <v>#VALUE!</v>
      </c>
      <c r="IF15" t="e">
        <f ca="1">EfW!95:95-"Ug1!Q]"</f>
        <v>#VALUE!</v>
      </c>
      <c r="IG15" t="e">
        <f ca="1">EfW!96:96-"Ug1!Q^"</f>
        <v>#VALUE!</v>
      </c>
      <c r="IH15" t="e">
        <f ca="1">EfW!97:97-"Ug1!Q_"</f>
        <v>#VALUE!</v>
      </c>
      <c r="II15" t="e">
        <f ca="1">EfW!98:98-"Ug1!Q`"</f>
        <v>#VALUE!</v>
      </c>
      <c r="IJ15" t="e">
        <f ca="1">EfW!99:99-"Ug1!Qa"</f>
        <v>#VALUE!</v>
      </c>
      <c r="IK15" t="e">
        <f ca="1">EfW!100:100-"Ug1!Qb"</f>
        <v>#VALUE!</v>
      </c>
      <c r="IL15" t="e">
        <f ca="1">EfW!101:101-"Ug1!Qc"</f>
        <v>#VALUE!</v>
      </c>
      <c r="IM15" t="e">
        <f ca="1">EfW!102:102-"Ug1!Qd"</f>
        <v>#VALUE!</v>
      </c>
      <c r="IN15" t="e">
        <f ca="1">EfW!103:103-"Ug1!Qe"</f>
        <v>#VALUE!</v>
      </c>
      <c r="IO15" t="e">
        <f ca="1">EfW!104:104-"Ug1!Qf"</f>
        <v>#VALUE!</v>
      </c>
      <c r="IP15" t="e">
        <f ca="1">EfW!105:105-"Ug1!Qg"</f>
        <v>#VALUE!</v>
      </c>
      <c r="IQ15" t="e">
        <f ca="1">EfW!106:106-"Ug1!Qh"</f>
        <v>#VALUE!</v>
      </c>
      <c r="IR15" t="e">
        <f ca="1">EfW!107:107-"Ug1!Qi"</f>
        <v>#VALUE!</v>
      </c>
      <c r="IS15" t="e">
        <f ca="1">EfW!108:108-"Ug1!Qj"</f>
        <v>#VALUE!</v>
      </c>
      <c r="IT15" t="e">
        <f ca="1">EfW!109:109-"Ug1!Qk"</f>
        <v>#VALUE!</v>
      </c>
      <c r="IU15" t="e">
        <f ca="1">EfW!110:110-"Ug1!Ql"</f>
        <v>#VALUE!</v>
      </c>
      <c r="IV15" t="e">
        <f ca="1">EfW!111:111-"Ug1!Qm"</f>
        <v>#VALUE!</v>
      </c>
    </row>
    <row r="16" spans="1:256" x14ac:dyDescent="0.2">
      <c r="F16" t="e">
        <f ca="1">EfW!112:112-"Ug1!Qn"</f>
        <v>#VALUE!</v>
      </c>
      <c r="G16" t="e">
        <f ca="1">EfW!113:113-"Ug1!Qo"</f>
        <v>#VALUE!</v>
      </c>
      <c r="H16" t="e">
        <f ca="1">EfW!114:114-"Ug1!Qp"</f>
        <v>#VALUE!</v>
      </c>
      <c r="I16" t="e">
        <f ca="1">EfW!115:115-"Ug1!Qq"</f>
        <v>#VALUE!</v>
      </c>
      <c r="J16" t="e">
        <f ca="1">EfW!116:116-"Ug1!Qr"</f>
        <v>#VALUE!</v>
      </c>
      <c r="K16" t="e">
        <f ca="1">EfW!117:117-"Ug1!Qs"</f>
        <v>#VALUE!</v>
      </c>
      <c r="L16" t="e">
        <f ca="1">EfW!118:118-"Ug1!Qt"</f>
        <v>#VALUE!</v>
      </c>
      <c r="M16" t="e">
        <f ca="1">EfW!119:119-"Ug1!Qu"</f>
        <v>#VALUE!</v>
      </c>
      <c r="N16" t="e">
        <f ca="1">EfW!120:120-"Ug1!Qv"</f>
        <v>#VALUE!</v>
      </c>
      <c r="O16" t="e">
        <f ca="1">EfW!121:121-"Ug1!Qw"</f>
        <v>#VALUE!</v>
      </c>
      <c r="P16" t="e">
        <f ca="1">EfW!122:122-"Ug1!Qx"</f>
        <v>#VALUE!</v>
      </c>
      <c r="Q16" t="e">
        <f ca="1">EfW!123:123-"Ug1!Qy"</f>
        <v>#VALUE!</v>
      </c>
      <c r="R16" t="e">
        <f ca="1">EfW!124:124-"Ug1!Qz"</f>
        <v>#VALUE!</v>
      </c>
      <c r="S16" t="e">
        <f ca="1">EfW!125:125-"Ug1!Q{"</f>
        <v>#VALUE!</v>
      </c>
      <c r="T16" t="e">
        <f ca="1">EfW!126:126-"Ug1!Q|"</f>
        <v>#VALUE!</v>
      </c>
      <c r="U16" t="e">
        <f ca="1">EfW!127:127-"Ug1!Q}"</f>
        <v>#VALUE!</v>
      </c>
      <c r="V16" t="e">
        <f ca="1">EfW!128:128-"Ug1!Q~"</f>
        <v>#VALUE!</v>
      </c>
      <c r="W16" t="e">
        <f ca="1">EfW!129:129-"Ug1!R#"</f>
        <v>#VALUE!</v>
      </c>
      <c r="X16" t="e">
        <f ca="1">EfW!130:130-"Ug1!R$"</f>
        <v>#VALUE!</v>
      </c>
      <c r="Y16" t="e">
        <f ca="1">EfW!131:131-"Ug1!R%"</f>
        <v>#VALUE!</v>
      </c>
      <c r="Z16" t="e">
        <f ca="1">EfW!132:132-"Ug1!R&amp;"</f>
        <v>#VALUE!</v>
      </c>
      <c r="AA16" t="e">
        <f ca="1">EfW!133:133-"Ug1!R'"</f>
        <v>#VALUE!</v>
      </c>
      <c r="AB16" t="e">
        <f ca="1">EfW!134:134-"Ug1!R("</f>
        <v>#VALUE!</v>
      </c>
      <c r="AC16" t="e">
        <f ca="1">EfW!135:135-"Ug1!R)"</f>
        <v>#VALUE!</v>
      </c>
      <c r="AD16" t="e">
        <f ca="1">EfW!136:136-"Ug1!R."</f>
        <v>#VALUE!</v>
      </c>
      <c r="AE16" t="e">
        <f ca="1">EfW!137:137-"Ug1!R/"</f>
        <v>#VALUE!</v>
      </c>
      <c r="AF16" t="e">
        <f ca="1">EfW!138:138-"Ug1!R0"</f>
        <v>#VALUE!</v>
      </c>
      <c r="AG16" t="e">
        <f ca="1">EfW!139:139-"Ug1!R1"</f>
        <v>#VALUE!</v>
      </c>
      <c r="AH16" t="e">
        <f ca="1">EfW!140:140-"Ug1!R2"</f>
        <v>#VALUE!</v>
      </c>
      <c r="AI16" t="e">
        <f ca="1">EfW!141:141-"Ug1!R3"</f>
        <v>#VALUE!</v>
      </c>
      <c r="AJ16" t="e">
        <f ca="1">EfW!142:142-"Ug1!R4"</f>
        <v>#VALUE!</v>
      </c>
      <c r="AK16" t="e">
        <f ca="1">EfW!143:143-"Ug1!R5"</f>
        <v>#VALUE!</v>
      </c>
      <c r="AL16" t="e">
        <f ca="1">EfW!144:144-"Ug1!R6"</f>
        <v>#VALUE!</v>
      </c>
      <c r="AM16" t="e">
        <f ca="1">EfW!145:145-"Ug1!R7"</f>
        <v>#VALUE!</v>
      </c>
      <c r="AN16" t="e">
        <f ca="1">EfW!146:146-"Ug1!R8"</f>
        <v>#VALUE!</v>
      </c>
      <c r="AO16" t="e">
        <f ca="1">EfW!147:147-"Ug1!R9"</f>
        <v>#VALUE!</v>
      </c>
      <c r="AP16" t="e">
        <f ca="1">EfW!148:148-"Ug1!R:"</f>
        <v>#VALUE!</v>
      </c>
      <c r="AQ16" t="e">
        <f ca="1">EfW!149:149-"Ug1!R;"</f>
        <v>#VALUE!</v>
      </c>
      <c r="AR16" t="e">
        <f ca="1">EfW!150:150-"Ug1!R&lt;"</f>
        <v>#VALUE!</v>
      </c>
      <c r="AS16" t="e">
        <f ca="1">EfW!151:151-"Ug1!R="</f>
        <v>#VALUE!</v>
      </c>
      <c r="AT16" t="e">
        <f ca="1">EfW!152:152-"Ug1!R&gt;"</f>
        <v>#VALUE!</v>
      </c>
      <c r="AU16" t="e">
        <f ca="1">EfW!153:153-"Ug1!R?"</f>
        <v>#VALUE!</v>
      </c>
      <c r="AV16" t="e">
        <f ca="1">EfW!154:154-"Ug1!R@"</f>
        <v>#VALUE!</v>
      </c>
      <c r="AW16" t="e">
        <f ca="1">EfW!155:155-"Ug1!RA"</f>
        <v>#VALUE!</v>
      </c>
      <c r="AX16" t="e">
        <f ca="1">EfW!156:156-"Ug1!RB"</f>
        <v>#VALUE!</v>
      </c>
      <c r="AY16" t="e">
        <f ca="1">EfW!157:157-"Ug1!RC"</f>
        <v>#VALUE!</v>
      </c>
      <c r="AZ16" t="e">
        <f ca="1">EfW!158:158-"Ug1!RD"</f>
        <v>#VALUE!</v>
      </c>
      <c r="BA16" t="e">
        <f ca="1">EfW!159:159-"Ug1!RE"</f>
        <v>#VALUE!</v>
      </c>
      <c r="BB16" t="e">
        <f ca="1">EfW!160:160-"Ug1!RF"</f>
        <v>#VALUE!</v>
      </c>
      <c r="BC16" t="e">
        <f ca="1">EfW!161:161-"Ug1!RG"</f>
        <v>#VALUE!</v>
      </c>
      <c r="BD16" t="e">
        <f ca="1">EfW!162:162-"Ug1!RH"</f>
        <v>#VALUE!</v>
      </c>
      <c r="BE16" t="e">
        <f ca="1">EfW!163:163-"Ug1!RI"</f>
        <v>#VALUE!</v>
      </c>
      <c r="BF16" t="e">
        <f ca="1">EfW!164:164-"Ug1!RJ"</f>
        <v>#VALUE!</v>
      </c>
      <c r="BG16" t="e">
        <f ca="1">EfW!165:165-"Ug1!RK"</f>
        <v>#VALUE!</v>
      </c>
      <c r="BH16" t="e">
        <f ca="1">EfW!166:166-"Ug1!RL"</f>
        <v>#VALUE!</v>
      </c>
      <c r="BI16" t="e">
        <f ca="1">EfW!167:167-"Ug1!RM"</f>
        <v>#VALUE!</v>
      </c>
      <c r="BJ16" t="e">
        <f ca="1">EfW!168:168-"Ug1!RN"</f>
        <v>#VALUE!</v>
      </c>
      <c r="BK16" t="e">
        <f ca="1">EfW!169:169-"Ug1!RO"</f>
        <v>#VALUE!</v>
      </c>
      <c r="BL16" t="e">
        <f ca="1">EfW!170:170-"Ug1!RP"</f>
        <v>#VALUE!</v>
      </c>
      <c r="BM16" t="e">
        <f ca="1">EfW!171:171-"Ug1!RQ"</f>
        <v>#VALUE!</v>
      </c>
      <c r="BN16" t="e">
        <f ca="1">EfW!172:172-"Ug1!RR"</f>
        <v>#VALUE!</v>
      </c>
      <c r="BO16" t="e">
        <f ca="1">EfW!173:173-"Ug1!RS"</f>
        <v>#VALUE!</v>
      </c>
      <c r="BP16" t="e">
        <f ca="1">EfW!174:174-"Ug1!RT"</f>
        <v>#VALUE!</v>
      </c>
      <c r="BQ16" t="e">
        <f ca="1">EfW!175:175-"Ug1!RU"</f>
        <v>#VALUE!</v>
      </c>
      <c r="BR16" t="e">
        <f ca="1">EfW!176:176-"Ug1!RV"</f>
        <v>#VALUE!</v>
      </c>
      <c r="BS16" t="e">
        <f ca="1">EfW!177:177-"Ug1!RW"</f>
        <v>#VALUE!</v>
      </c>
      <c r="BT16" t="e">
        <f ca="1">EfW!178:178-"Ug1!RX"</f>
        <v>#VALUE!</v>
      </c>
      <c r="BU16" t="e">
        <f ca="1">EfW!179:179-"Ug1!RY"</f>
        <v>#VALUE!</v>
      </c>
      <c r="BV16" t="e">
        <f ca="1">EfW!180:180-"Ug1!RZ"</f>
        <v>#VALUE!</v>
      </c>
      <c r="BW16" t="e">
        <f ca="1">EfW!181:181-"Ug1!R["</f>
        <v>#VALUE!</v>
      </c>
      <c r="BX16" t="e">
        <f ca="1">EfW!182:182-"Ug1!R\"</f>
        <v>#VALUE!</v>
      </c>
      <c r="BY16" t="e">
        <f ca="1">EfW!183:183-"Ug1!R]"</f>
        <v>#VALUE!</v>
      </c>
      <c r="BZ16" t="e">
        <f ca="1">EfW!184:184-"Ug1!R^"</f>
        <v>#VALUE!</v>
      </c>
      <c r="CA16" t="e">
        <f ca="1">EfW!185:185-"Ug1!R_"</f>
        <v>#VALUE!</v>
      </c>
      <c r="CB16" t="e">
        <f ca="1">EfW!186:186-"Ug1!R`"</f>
        <v>#VALUE!</v>
      </c>
      <c r="CC16" t="e">
        <f ca="1">EfW!187:187-"Ug1!Ra"</f>
        <v>#VALUE!</v>
      </c>
      <c r="CD16" t="e">
        <f ca="1">EfW!188:188-"Ug1!Rb"</f>
        <v>#VALUE!</v>
      </c>
      <c r="CE16" t="e">
        <f ca="1">EfW!189:189-"Ug1!Rc"</f>
        <v>#VALUE!</v>
      </c>
      <c r="CF16" t="e">
        <f ca="1">EfW!190:190-"Ug1!Rd"</f>
        <v>#VALUE!</v>
      </c>
      <c r="CG16" t="e">
        <f ca="1">EfW!191:191-"Ug1!Re"</f>
        <v>#VALUE!</v>
      </c>
      <c r="CH16" t="e">
        <f ca="1">EfW!192:192-"Ug1!Rf"</f>
        <v>#VALUE!</v>
      </c>
      <c r="CI16" t="e">
        <f ca="1">EfW!193:193-"Ug1!Rg"</f>
        <v>#VALUE!</v>
      </c>
      <c r="CJ16" t="e">
        <f ca="1">EfW!194:194-"Ug1!Rh"</f>
        <v>#VALUE!</v>
      </c>
      <c r="CK16" t="e">
        <f ca="1">EfW!195:195-"Ug1!Ri"</f>
        <v>#VALUE!</v>
      </c>
      <c r="CL16" t="e">
        <f ca="1">EfW!196:196-"Ug1!Rj"</f>
        <v>#VALUE!</v>
      </c>
      <c r="CM16" t="e">
        <f ca="1">EfW!197:197-"Ug1!Rk"</f>
        <v>#VALUE!</v>
      </c>
      <c r="CN16" t="e">
        <f ca="1">EfW!198:198-"Ug1!Rl"</f>
        <v>#VALUE!</v>
      </c>
      <c r="CO16" t="e">
        <f ca="1">EfW!199:199-"Ug1!Rm"</f>
        <v>#VALUE!</v>
      </c>
      <c r="CP16" t="e">
        <f ca="1">EfW!200:200-"Ug1!Rn"</f>
        <v>#VALUE!</v>
      </c>
      <c r="CQ16" t="e">
        <f ca="1">EfW!201:201-"Ug1!Ro"</f>
        <v>#VALUE!</v>
      </c>
      <c r="CR16" t="e">
        <f ca="1">EfW!202:202-"Ug1!Rp"</f>
        <v>#VALUE!</v>
      </c>
      <c r="CS16" t="e">
        <f ca="1">EfW!203:203-"Ug1!Rq"</f>
        <v>#VALUE!</v>
      </c>
      <c r="CT16" t="e">
        <f ca="1">EfW!204:204-"Ug1!Rr"</f>
        <v>#VALUE!</v>
      </c>
      <c r="CU16" t="e">
        <f ca="1">EfW!205:205-"Ug1!Rs"</f>
        <v>#VALUE!</v>
      </c>
      <c r="CV16" t="e">
        <f ca="1">EfW!206:206-"Ug1!Rt"</f>
        <v>#VALUE!</v>
      </c>
      <c r="CW16" t="e">
        <f ca="1">EfW!207:207-"Ug1!Ru"</f>
        <v>#VALUE!</v>
      </c>
      <c r="CX16" t="e">
        <f ca="1">EfW!208:208-"Ug1!Rv"</f>
        <v>#VALUE!</v>
      </c>
      <c r="CY16" t="e">
        <f ca="1">EfW!209:209-"Ug1!Rw"</f>
        <v>#VALUE!</v>
      </c>
      <c r="CZ16" t="e">
        <f ca="1">EfW!210:210-"Ug1!Rx"</f>
        <v>#VALUE!</v>
      </c>
      <c r="DA16" t="e">
        <f ca="1">EfW!211:211-"Ug1!Ry"</f>
        <v>#VALUE!</v>
      </c>
      <c r="DB16" t="e">
        <f ca="1">EfW!212:212-"Ug1!Rz"</f>
        <v>#VALUE!</v>
      </c>
      <c r="DC16" t="e">
        <f ca="1">EfW!213:213-"Ug1!R{"</f>
        <v>#VALUE!</v>
      </c>
      <c r="DD16" t="e">
        <f ca="1">EfW!214:214-"Ug1!R|"</f>
        <v>#VALUE!</v>
      </c>
      <c r="DE16" t="e">
        <f ca="1">EfW!215:215-"Ug1!R}"</f>
        <v>#VALUE!</v>
      </c>
      <c r="DF16" t="e">
        <f ca="1">EfW!216:216-"Ug1!R~"</f>
        <v>#VALUE!</v>
      </c>
      <c r="DG16" t="e">
        <f ca="1">EfW!217:217-"Ug1!S#"</f>
        <v>#VALUE!</v>
      </c>
      <c r="DH16" t="e">
        <f ca="1">EfW!218:218-"Ug1!S$"</f>
        <v>#VALUE!</v>
      </c>
      <c r="DI16" t="e">
        <f ca="1">EfW!219:219-"Ug1!S%"</f>
        <v>#VALUE!</v>
      </c>
      <c r="DJ16" t="e">
        <f ca="1">EfW!220:220-"Ug1!S&amp;"</f>
        <v>#VALUE!</v>
      </c>
      <c r="DK16" t="e">
        <f ca="1">EfW!221:221-"Ug1!S'"</f>
        <v>#VALUE!</v>
      </c>
      <c r="DL16" t="e">
        <f ca="1">EfW!222:222-"Ug1!S("</f>
        <v>#VALUE!</v>
      </c>
      <c r="DM16" t="e">
        <f ca="1">EfW!223:223-"Ug1!S)"</f>
        <v>#VALUE!</v>
      </c>
      <c r="DN16" t="e">
        <f ca="1">EfW!224:224-"Ug1!S."</f>
        <v>#VALUE!</v>
      </c>
      <c r="DO16" t="e">
        <f ca="1">EfW!225:225-"Ug1!S/"</f>
        <v>#VALUE!</v>
      </c>
      <c r="DP16" t="e">
        <f ca="1">EfW!226:226-"Ug1!S0"</f>
        <v>#VALUE!</v>
      </c>
      <c r="DQ16" t="e">
        <f ca="1">EfW!227:227-"Ug1!S1"</f>
        <v>#VALUE!</v>
      </c>
      <c r="DR16" t="e">
        <f ca="1">EfW!228:228-"Ug1!S2"</f>
        <v>#VALUE!</v>
      </c>
      <c r="DS16" t="e">
        <f ca="1">EfW!229:229-"Ug1!S3"</f>
        <v>#VALUE!</v>
      </c>
      <c r="DT16" t="e">
        <f ca="1">EfW!230:230-"Ug1!S4"</f>
        <v>#VALUE!</v>
      </c>
      <c r="DU16" t="e">
        <f ca="1">EfW!231:231-"Ug1!S5"</f>
        <v>#VALUE!</v>
      </c>
      <c r="DV16" t="e">
        <f ca="1">EfW!232:232-"Ug1!S6"</f>
        <v>#VALUE!</v>
      </c>
      <c r="DW16" t="e">
        <f ca="1">EfW!233:233-"Ug1!S7"</f>
        <v>#VALUE!</v>
      </c>
      <c r="DX16" t="e">
        <f ca="1">EfW!234:234-"Ug1!S8"</f>
        <v>#VALUE!</v>
      </c>
      <c r="DY16" t="e">
        <f ca="1">EfW!235:235-"Ug1!S9"</f>
        <v>#VALUE!</v>
      </c>
      <c r="DZ16" t="e">
        <f ca="1">EfW!236:236-"Ug1!S:"</f>
        <v>#VALUE!</v>
      </c>
      <c r="EA16" t="e">
        <f ca="1">EfW!237:237-"Ug1!S;"</f>
        <v>#VALUE!</v>
      </c>
      <c r="EB16" t="e">
        <f ca="1">EfW!238:238-"Ug1!S&lt;"</f>
        <v>#VALUE!</v>
      </c>
      <c r="EC16" t="e">
        <f ca="1">EfW!239:239-"Ug1!S="</f>
        <v>#VALUE!</v>
      </c>
      <c r="ED16" t="e">
        <f ca="1">EfW!240:240-"Ug1!S&gt;"</f>
        <v>#VALUE!</v>
      </c>
      <c r="EE16" t="e">
        <f ca="1">EfW!241:241-"Ug1!S?"</f>
        <v>#VALUE!</v>
      </c>
      <c r="EF16" t="e">
        <f ca="1">EfW!242:242-"Ug1!S@"</f>
        <v>#VALUE!</v>
      </c>
      <c r="EG16" t="e">
        <f ca="1">EfW!243:243-"Ug1!SA"</f>
        <v>#VALUE!</v>
      </c>
      <c r="EH16" t="e">
        <f ca="1">EfW!244:244-"Ug1!SB"</f>
        <v>#VALUE!</v>
      </c>
      <c r="EI16" t="e">
        <f ca="1">EfW!245:245-"Ug1!SC"</f>
        <v>#VALUE!</v>
      </c>
      <c r="EJ16" t="e">
        <f ca="1">EfW!246:246-"Ug1!SD"</f>
        <v>#VALUE!</v>
      </c>
      <c r="EK16" t="e">
        <f ca="1">EfW!247:247-"Ug1!SE"</f>
        <v>#VALUE!</v>
      </c>
      <c r="EL16" t="e">
        <f ca="1">EfW!248:248-"Ug1!SF"</f>
        <v>#VALUE!</v>
      </c>
      <c r="EM16" t="e">
        <f ca="1">EfW!249:249-"Ug1!SG"</f>
        <v>#VALUE!</v>
      </c>
      <c r="EN16" t="e">
        <f ca="1">EfW!250:250-"Ug1!SH"</f>
        <v>#VALUE!</v>
      </c>
      <c r="EO16" t="e">
        <f ca="1">EfW!251:251-"Ug1!SI"</f>
        <v>#VALUE!</v>
      </c>
      <c r="EP16" t="e">
        <f ca="1">EfW!252:252-"Ug1!SJ"</f>
        <v>#VALUE!</v>
      </c>
      <c r="EQ16" t="e">
        <f ca="1">EfW!253:253-"Ug1!SK"</f>
        <v>#VALUE!</v>
      </c>
      <c r="ER16" t="e">
        <f ca="1">EfW!254:254-"Ug1!SL"</f>
        <v>#VALUE!</v>
      </c>
      <c r="ES16" t="e">
        <f ca="1">EfW!255:255-"Ug1!SM"</f>
        <v>#VALUE!</v>
      </c>
      <c r="ET16" t="e">
        <f ca="1">EfW!256:256-"Ug1!SN"</f>
        <v>#VALUE!</v>
      </c>
      <c r="EU16" t="e">
        <f ca="1">EfW!257:257-"Ug1!SO"</f>
        <v>#VALUE!</v>
      </c>
      <c r="EV16" t="e">
        <f ca="1">EfW!258:258-"Ug1!SP"</f>
        <v>#VALUE!</v>
      </c>
      <c r="EW16" t="e">
        <f ca="1">EfW!259:259-"Ug1!SQ"</f>
        <v>#VALUE!</v>
      </c>
      <c r="EX16" t="e">
        <f ca="1">EfW!260:260-"Ug1!SR"</f>
        <v>#VALUE!</v>
      </c>
      <c r="EY16" t="e">
        <f ca="1">EfW!261:261-"Ug1!SS"</f>
        <v>#VALUE!</v>
      </c>
      <c r="EZ16" t="e">
        <f ca="1">EfW!262:262-"Ug1!ST"</f>
        <v>#VALUE!</v>
      </c>
      <c r="FA16" t="e">
        <f ca="1">EfW!263:263-"Ug1!SU"</f>
        <v>#VALUE!</v>
      </c>
      <c r="FB16" t="e">
        <f ca="1">EfW!264:264-"Ug1!SV"</f>
        <v>#VALUE!</v>
      </c>
      <c r="FC16" t="e">
        <f ca="1">EfW!265:265-"Ug1!SW"</f>
        <v>#VALUE!</v>
      </c>
      <c r="FD16" t="e">
        <f ca="1">EfW!266:266-"Ug1!SX"</f>
        <v>#VALUE!</v>
      </c>
      <c r="FE16" t="e">
        <f ca="1">EfW!267:267-"Ug1!SY"</f>
        <v>#VALUE!</v>
      </c>
      <c r="FF16" t="e">
        <f ca="1">EfW!268:268-"Ug1!SZ"</f>
        <v>#VALUE!</v>
      </c>
      <c r="FG16" t="e">
        <f ca="1">EfW!269:269-"Ug1!S["</f>
        <v>#VALUE!</v>
      </c>
      <c r="FH16" t="e">
        <f ca="1">EfW!270:270-"Ug1!S\"</f>
        <v>#VALUE!</v>
      </c>
      <c r="FI16" t="e">
        <f ca="1">EfW!271:271-"Ug1!S]"</f>
        <v>#VALUE!</v>
      </c>
      <c r="FJ16" t="e">
        <f ca="1">EfW!272:272-"Ug1!S^"</f>
        <v>#VALUE!</v>
      </c>
      <c r="FK16" t="e">
        <f ca="1">EfW!273:273-"Ug1!S_"</f>
        <v>#VALUE!</v>
      </c>
      <c r="FL16" t="e">
        <f ca="1">EfW!A1+"Ug1!S`"</f>
        <v>#VALUE!</v>
      </c>
      <c r="FM16" t="e">
        <f ca="1">EfW!B1+"Ug1!Sa"</f>
        <v>#VALUE!</v>
      </c>
      <c r="FN16" t="e">
        <f ca="1">EfW!C1+"Ug1!Sb"</f>
        <v>#VALUE!</v>
      </c>
      <c r="FO16" t="e">
        <f ca="1">EfW!D1+"Ug1!Sc"</f>
        <v>#VALUE!</v>
      </c>
      <c r="FP16" t="e">
        <f ca="1">EfW!E1+"Ug1!Sd"</f>
        <v>#VALUE!</v>
      </c>
      <c r="FQ16" t="e">
        <f ca="1">EfW!F1+"Ug1!Se"</f>
        <v>#VALUE!</v>
      </c>
      <c r="FR16" t="e">
        <f ca="1">EfW!G1+"Ug1!Sf"</f>
        <v>#VALUE!</v>
      </c>
      <c r="FS16" t="e">
        <f ca="1">EfW!H1+"Ug1!Sg"</f>
        <v>#VALUE!</v>
      </c>
      <c r="FT16" t="e">
        <f ca="1">EfW!I1+"Ug1!Sh"</f>
        <v>#VALUE!</v>
      </c>
      <c r="FU16" t="e">
        <f ca="1">EfW!J1+"Ug1!Si"</f>
        <v>#VALUE!</v>
      </c>
      <c r="FV16" t="e">
        <f ca="1">EfW!K1+"Ug1!Sj"</f>
        <v>#VALUE!</v>
      </c>
      <c r="FW16" t="e">
        <f ca="1">EfW!L1+"Ug1!Sk"</f>
        <v>#VALUE!</v>
      </c>
      <c r="FX16" t="e">
        <f ca="1">EfW!M1+"Ug1!Sl"</f>
        <v>#VALUE!</v>
      </c>
      <c r="FY16" t="e">
        <f ca="1">EfW!N1+"Ug1!Sm"</f>
        <v>#VALUE!</v>
      </c>
      <c r="FZ16" t="e">
        <f ca="1">EfW!O1+"Ug1!Sn"</f>
        <v>#VALUE!</v>
      </c>
      <c r="GA16" t="e">
        <f ca="1">EfW!P1+"Ug1!So"</f>
        <v>#VALUE!</v>
      </c>
      <c r="GB16" t="e">
        <f ca="1">EfW!Q1+"Ug1!Sp"</f>
        <v>#VALUE!</v>
      </c>
      <c r="GC16" t="e">
        <f ca="1">EfW!R1+"Ug1!Sq"</f>
        <v>#VALUE!</v>
      </c>
      <c r="GD16" t="e">
        <f ca="1">EfW!S1+"Ug1!Sr"</f>
        <v>#VALUE!</v>
      </c>
      <c r="GE16" t="e">
        <f ca="1">EfW!T1+"Ug1!Ss"</f>
        <v>#VALUE!</v>
      </c>
      <c r="GF16" t="e">
        <f ca="1">EfW!U1+"Ug1!St"</f>
        <v>#VALUE!</v>
      </c>
      <c r="GG16" t="e">
        <f ca="1">EfW!V1+"Ug1!Su"</f>
        <v>#VALUE!</v>
      </c>
      <c r="GH16" t="e">
        <f ca="1">EfW!W1+"Ug1!Sv"</f>
        <v>#VALUE!</v>
      </c>
      <c r="GI16" t="e">
        <f ca="1">EfW!X1+"Ug1!Sw"</f>
        <v>#VALUE!</v>
      </c>
      <c r="GJ16" t="e">
        <f ca="1">EfW!Y1+"Ug1!Sx"</f>
        <v>#VALUE!</v>
      </c>
      <c r="GK16" t="e">
        <f ca="1">EfW!Z1+"Ug1!Sy"</f>
        <v>#VALUE!</v>
      </c>
      <c r="GL16" t="e">
        <f ca="1">EfW!AA1+"Ug1!Sz"</f>
        <v>#VALUE!</v>
      </c>
      <c r="GM16" t="e">
        <f ca="1">EfW!AB1+"Ug1!S{"</f>
        <v>#VALUE!</v>
      </c>
      <c r="GN16" t="e">
        <f ca="1">EfW!AC1+"Ug1!S|"</f>
        <v>#VALUE!</v>
      </c>
      <c r="GO16" t="e">
        <f ca="1">EfW!AD1+"Ug1!S}"</f>
        <v>#VALUE!</v>
      </c>
      <c r="GP16" t="e">
        <f ca="1">EfW!AE1+"Ug1!S~"</f>
        <v>#VALUE!</v>
      </c>
      <c r="GQ16" t="e">
        <f ca="1">EfW!AF1+"Ug1!T#"</f>
        <v>#VALUE!</v>
      </c>
      <c r="GR16" t="e">
        <f ca="1">EfW!AG1+"Ug1!T$"</f>
        <v>#VALUE!</v>
      </c>
      <c r="GS16" t="e">
        <f ca="1">EfW!AH1+"Ug1!T%"</f>
        <v>#VALUE!</v>
      </c>
      <c r="GT16" t="e">
        <f ca="1">EfW!AI1+"Ug1!T&amp;"</f>
        <v>#VALUE!</v>
      </c>
      <c r="GU16" t="e">
        <f ca="1">EfW!AJ1+"Ug1!T'"</f>
        <v>#VALUE!</v>
      </c>
      <c r="GV16" t="e">
        <f ca="1">EfW!AK1+"Ug1!T("</f>
        <v>#VALUE!</v>
      </c>
      <c r="GW16" t="e">
        <f ca="1">EfW!AL1+"Ug1!T)"</f>
        <v>#VALUE!</v>
      </c>
      <c r="GX16" t="e">
        <f ca="1">EfW!AM1+"Ug1!T."</f>
        <v>#VALUE!</v>
      </c>
      <c r="GY16" t="e">
        <f ca="1">EfW!AN1+"Ug1!T/"</f>
        <v>#VALUE!</v>
      </c>
      <c r="GZ16" t="e">
        <f ca="1">EfW!AO1+"Ug1!T0"</f>
        <v>#VALUE!</v>
      </c>
      <c r="HA16" t="e">
        <f ca="1">EfW!AP1+"Ug1!T1"</f>
        <v>#VALUE!</v>
      </c>
      <c r="HB16" t="e">
        <f ca="1">EfW!AQ1+"Ug1!T2"</f>
        <v>#VALUE!</v>
      </c>
      <c r="HC16" t="e">
        <f ca="1">EfW!AR1+"Ug1!T3"</f>
        <v>#VALUE!</v>
      </c>
      <c r="HD16" t="e">
        <f ca="1">EfW!AS1+"Ug1!T4"</f>
        <v>#VALUE!</v>
      </c>
      <c r="HE16" t="e">
        <f ca="1">EfW!AT1+"Ug1!T5"</f>
        <v>#VALUE!</v>
      </c>
      <c r="HF16" t="e">
        <f ca="1">EfW!AU1+"Ug1!T6"</f>
        <v>#VALUE!</v>
      </c>
      <c r="HG16" t="e">
        <f ca="1">EfW!AV1+"Ug1!T7"</f>
        <v>#VALUE!</v>
      </c>
      <c r="HH16" t="e">
        <f ca="1">EfW!AW1+"Ug1!T8"</f>
        <v>#VALUE!</v>
      </c>
      <c r="HI16" t="e">
        <f ca="1">EfW!AX1+"Ug1!T9"</f>
        <v>#VALUE!</v>
      </c>
      <c r="HJ16" t="e">
        <f ca="1">EfW!AY1+"Ug1!T:"</f>
        <v>#VALUE!</v>
      </c>
      <c r="HK16" t="e">
        <f ca="1">EfW!AZ1+"Ug1!T;"</f>
        <v>#VALUE!</v>
      </c>
      <c r="HL16" t="e">
        <f ca="1">EfW!BA1+"Ug1!T&lt;"</f>
        <v>#VALUE!</v>
      </c>
      <c r="HM16" t="e">
        <f ca="1">EfW!BB1+"Ug1!T="</f>
        <v>#VALUE!</v>
      </c>
      <c r="HN16" t="e">
        <f ca="1">EfW!BC1+"Ug1!T&gt;"</f>
        <v>#VALUE!</v>
      </c>
      <c r="HO16" t="e">
        <f ca="1">EfW!BD1+"Ug1!T?"</f>
        <v>#VALUE!</v>
      </c>
      <c r="HP16" t="e">
        <f ca="1">EfW!BE1+"Ug1!T@"</f>
        <v>#VALUE!</v>
      </c>
      <c r="HQ16" t="e">
        <f ca="1">EfW!BF1+"Ug1!TA"</f>
        <v>#VALUE!</v>
      </c>
      <c r="HR16" t="e">
        <f ca="1">EfW!BG1+"Ug1!TB"</f>
        <v>#VALUE!</v>
      </c>
      <c r="HS16" t="e">
        <f ca="1">EfW!BH1+"Ug1!TC"</f>
        <v>#VALUE!</v>
      </c>
      <c r="HT16" t="e">
        <f ca="1">EfW!BI1+"Ug1!TD"</f>
        <v>#VALUE!</v>
      </c>
      <c r="HU16" t="e">
        <f ca="1">EfW!BJ1+"Ug1!TE"</f>
        <v>#VALUE!</v>
      </c>
      <c r="HV16" t="e">
        <f ca="1">EfW!BK1+"Ug1!TF"</f>
        <v>#VALUE!</v>
      </c>
      <c r="HW16" t="e">
        <f ca="1">EfW!BL1+"Ug1!TG"</f>
        <v>#VALUE!</v>
      </c>
      <c r="HX16" t="e">
        <f ca="1">EfW!BM1+"Ug1!TH"</f>
        <v>#VALUE!</v>
      </c>
      <c r="HY16" t="e">
        <f ca="1">EfW!BN1+"Ug1!TI"</f>
        <v>#VALUE!</v>
      </c>
      <c r="HZ16" t="e">
        <f ca="1">EfW!BO1+"Ug1!TJ"</f>
        <v>#VALUE!</v>
      </c>
      <c r="IA16" t="e">
        <f ca="1">EfW!BP1+"Ug1!TK"</f>
        <v>#VALUE!</v>
      </c>
      <c r="IB16" t="e">
        <f ca="1">EfW!BQ1+"Ug1!TL"</f>
        <v>#VALUE!</v>
      </c>
      <c r="IC16" t="e">
        <f ca="1">EfW!BR1+"Ug1!TM"</f>
        <v>#VALUE!</v>
      </c>
      <c r="ID16" t="e">
        <f ca="1">EfW!BS1+"Ug1!TN"</f>
        <v>#VALUE!</v>
      </c>
      <c r="IE16" t="e">
        <f ca="1">EfW!BT1+"Ug1!TO"</f>
        <v>#VALUE!</v>
      </c>
      <c r="IF16" t="e">
        <f ca="1">EfW!BU1+"Ug1!TP"</f>
        <v>#VALUE!</v>
      </c>
      <c r="IG16" t="e">
        <f ca="1">EfW!BV1+"Ug1!TQ"</f>
        <v>#VALUE!</v>
      </c>
      <c r="IH16" t="e">
        <f ca="1">EfW!BW1+"Ug1!TR"</f>
        <v>#VALUE!</v>
      </c>
      <c r="II16" t="e">
        <f ca="1">EfW!BX1+"Ug1!TS"</f>
        <v>#VALUE!</v>
      </c>
      <c r="IJ16" t="e">
        <f ca="1">EfW!BY1+"Ug1!TT"</f>
        <v>#VALUE!</v>
      </c>
      <c r="IK16" t="e">
        <f ca="1">EfW!B2+"Ug1!TU"</f>
        <v>#VALUE!</v>
      </c>
      <c r="IL16" t="e">
        <f ca="1">EfW!C2+"Ug1!TV"</f>
        <v>#VALUE!</v>
      </c>
      <c r="IM16" t="e">
        <f ca="1">EfW!D2+"Ug1!TW"</f>
        <v>#VALUE!</v>
      </c>
      <c r="IN16" t="e">
        <f ca="1">EfW!E2+"Ug1!TX"</f>
        <v>#VALUE!</v>
      </c>
      <c r="IO16" t="e">
        <f ca="1">EfW!F2+"Ug1!TY"</f>
        <v>#VALUE!</v>
      </c>
      <c r="IP16" t="e">
        <f ca="1">EfW!G2+"Ug1!TZ"</f>
        <v>#VALUE!</v>
      </c>
      <c r="IQ16" t="e">
        <f ca="1">EfW!H2+"Ug1!T["</f>
        <v>#VALUE!</v>
      </c>
      <c r="IR16" t="e">
        <f ca="1">EfW!J2+"Ug1!T\"</f>
        <v>#VALUE!</v>
      </c>
      <c r="IS16" t="e">
        <f ca="1">EfW!K2+"Ug1!T]"</f>
        <v>#VALUE!</v>
      </c>
      <c r="IT16" t="e">
        <f ca="1">EfW!L2+"Ug1!T^"</f>
        <v>#VALUE!</v>
      </c>
      <c r="IU16" t="e">
        <f ca="1">EfW!M2+"Ug1!T_"</f>
        <v>#VALUE!</v>
      </c>
      <c r="IV16" t="e">
        <f ca="1">EfW!N2+"Ug1!T`"</f>
        <v>#VALUE!</v>
      </c>
    </row>
    <row r="17" spans="6:256" x14ac:dyDescent="0.2">
      <c r="F17" t="e">
        <f ca="1">EfW!O2+"Ug1!Ta"</f>
        <v>#VALUE!</v>
      </c>
      <c r="G17" t="e">
        <f ca="1">EfW!P2+"Ug1!Tb"</f>
        <v>#VALUE!</v>
      </c>
      <c r="H17" t="e">
        <f ca="1">EfW!Q2+"Ug1!Tc"</f>
        <v>#VALUE!</v>
      </c>
      <c r="I17" t="e">
        <f ca="1">EfW!R2+"Ug1!Td"</f>
        <v>#VALUE!</v>
      </c>
      <c r="J17" t="e">
        <f ca="1">EfW!S2+"Ug1!Te"</f>
        <v>#VALUE!</v>
      </c>
      <c r="K17" t="e">
        <f ca="1">EfW!T2+"Ug1!Tf"</f>
        <v>#VALUE!</v>
      </c>
      <c r="L17" t="e">
        <f ca="1">EfW!U2+"Ug1!Tg"</f>
        <v>#VALUE!</v>
      </c>
      <c r="M17" t="e">
        <f ca="1">EfW!V2+"Ug1!Th"</f>
        <v>#VALUE!</v>
      </c>
      <c r="N17" t="e">
        <f ca="1">EfW!W2+"Ug1!Ti"</f>
        <v>#VALUE!</v>
      </c>
      <c r="O17" t="e">
        <f ca="1">EfW!X2+"Ug1!Tj"</f>
        <v>#VALUE!</v>
      </c>
      <c r="P17" t="e">
        <f ca="1">EfW!Y2+"Ug1!Tk"</f>
        <v>#VALUE!</v>
      </c>
      <c r="Q17" t="e">
        <f ca="1">EfW!Z2+"Ug1!Tl"</f>
        <v>#VALUE!</v>
      </c>
      <c r="R17" t="e">
        <f ca="1">EfW!AA2+"Ug1!Tm"</f>
        <v>#VALUE!</v>
      </c>
      <c r="S17" t="e">
        <f ca="1">EfW!AB2+"Ug1!Tn"</f>
        <v>#VALUE!</v>
      </c>
      <c r="T17" t="e">
        <f ca="1">EfW!AC2+"Ug1!To"</f>
        <v>#VALUE!</v>
      </c>
      <c r="U17" t="e">
        <f ca="1">EfW!AD2+"Ug1!Tp"</f>
        <v>#VALUE!</v>
      </c>
      <c r="V17" t="e">
        <f ca="1">EfW!AE2+"Ug1!Tq"</f>
        <v>#VALUE!</v>
      </c>
      <c r="W17" t="e">
        <f ca="1">EfW!AF2+"Ug1!Tr"</f>
        <v>#VALUE!</v>
      </c>
      <c r="X17" t="e">
        <f ca="1">EfW!AG2+"Ug1!Ts"</f>
        <v>#VALUE!</v>
      </c>
      <c r="Y17" t="e">
        <f ca="1">EfW!AH2+"Ug1!Tt"</f>
        <v>#VALUE!</v>
      </c>
      <c r="Z17" t="e">
        <f ca="1">EfW!AI2+"Ug1!Tu"</f>
        <v>#VALUE!</v>
      </c>
      <c r="AA17" t="e">
        <f ca="1">EfW!AJ2+"Ug1!Tv"</f>
        <v>#VALUE!</v>
      </c>
      <c r="AB17" t="e">
        <f ca="1">EfW!AK2+"Ug1!Tw"</f>
        <v>#VALUE!</v>
      </c>
      <c r="AC17" t="e">
        <f ca="1">EfW!AL2+"Ug1!Tx"</f>
        <v>#VALUE!</v>
      </c>
      <c r="AD17" t="e">
        <f ca="1">EfW!AM2+"Ug1!Ty"</f>
        <v>#VALUE!</v>
      </c>
      <c r="AE17" t="e">
        <f ca="1">EfW!AN2+"Ug1!Tz"</f>
        <v>#VALUE!</v>
      </c>
      <c r="AF17" t="e">
        <f ca="1">EfW!AO2+"Ug1!T{"</f>
        <v>#VALUE!</v>
      </c>
      <c r="AG17" t="e">
        <f ca="1">EfW!AP2+"Ug1!T|"</f>
        <v>#VALUE!</v>
      </c>
      <c r="AH17" t="e">
        <f ca="1">EfW!AQ2+"Ug1!T}"</f>
        <v>#VALUE!</v>
      </c>
      <c r="AI17" t="e">
        <f ca="1">EfW!AR2+"Ug1!T~"</f>
        <v>#VALUE!</v>
      </c>
      <c r="AJ17" t="e">
        <f ca="1">EfW!AS2+"Ug1!U#"</f>
        <v>#VALUE!</v>
      </c>
      <c r="AK17" t="e">
        <f ca="1">EfW!AT2+"Ug1!U$"</f>
        <v>#VALUE!</v>
      </c>
      <c r="AL17" t="e">
        <f ca="1">EfW!AU2+"Ug1!U%"</f>
        <v>#VALUE!</v>
      </c>
      <c r="AM17" t="e">
        <f ca="1">EfW!AV2+"Ug1!U&amp;"</f>
        <v>#VALUE!</v>
      </c>
      <c r="AN17" t="e">
        <f ca="1">EfW!AW2+"Ug1!U'"</f>
        <v>#VALUE!</v>
      </c>
      <c r="AO17" t="e">
        <f ca="1">EfW!AX2+"Ug1!U("</f>
        <v>#VALUE!</v>
      </c>
      <c r="AP17" t="e">
        <f ca="1">EfW!AY2+"Ug1!U)"</f>
        <v>#VALUE!</v>
      </c>
      <c r="AQ17" t="e">
        <f ca="1">EfW!AZ2+"Ug1!U."</f>
        <v>#VALUE!</v>
      </c>
      <c r="AR17" t="e">
        <f ca="1">EfW!BA2+"Ug1!U/"</f>
        <v>#VALUE!</v>
      </c>
      <c r="AS17" t="e">
        <f ca="1">EfW!BB2+"Ug1!U0"</f>
        <v>#VALUE!</v>
      </c>
      <c r="AT17" t="e">
        <f ca="1">EfW!BC2+"Ug1!U1"</f>
        <v>#VALUE!</v>
      </c>
      <c r="AU17" t="e">
        <f ca="1">EfW!BD2+"Ug1!U2"</f>
        <v>#VALUE!</v>
      </c>
      <c r="AV17" t="e">
        <f ca="1">EfW!BE2+"Ug1!U3"</f>
        <v>#VALUE!</v>
      </c>
      <c r="AW17" t="e">
        <f ca="1">EfW!BF2+"Ug1!U4"</f>
        <v>#VALUE!</v>
      </c>
      <c r="AX17" t="e">
        <f ca="1">EfW!BG2+"Ug1!U5"</f>
        <v>#VALUE!</v>
      </c>
      <c r="AY17" t="e">
        <f ca="1">EfW!BH2+"Ug1!U6"</f>
        <v>#VALUE!</v>
      </c>
      <c r="AZ17" t="e">
        <f ca="1">EfW!BI2+"Ug1!U7"</f>
        <v>#VALUE!</v>
      </c>
      <c r="BA17" t="e">
        <f ca="1">EfW!BJ2+"Ug1!U8"</f>
        <v>#VALUE!</v>
      </c>
      <c r="BB17" t="e">
        <f ca="1">EfW!BK2+"Ug1!U9"</f>
        <v>#VALUE!</v>
      </c>
      <c r="BC17" t="e">
        <f ca="1">EfW!BL2+"Ug1!U:"</f>
        <v>#VALUE!</v>
      </c>
      <c r="BD17" t="e">
        <f ca="1">EfW!BM2+"Ug1!U;"</f>
        <v>#VALUE!</v>
      </c>
      <c r="BE17" t="e">
        <f ca="1">EfW!BN2+"Ug1!U&lt;"</f>
        <v>#VALUE!</v>
      </c>
      <c r="BF17" t="e">
        <f ca="1">EfW!BO2+"Ug1!U="</f>
        <v>#VALUE!</v>
      </c>
      <c r="BG17" t="e">
        <f ca="1">EfW!BP2+"Ug1!U&gt;"</f>
        <v>#VALUE!</v>
      </c>
      <c r="BH17" t="e">
        <f ca="1">EfW!BQ2+"Ug1!U?"</f>
        <v>#VALUE!</v>
      </c>
      <c r="BI17" t="e">
        <f ca="1">EfW!BR2+"Ug1!U@"</f>
        <v>#VALUE!</v>
      </c>
      <c r="BJ17" t="e">
        <f ca="1">EfW!BS2+"Ug1!UA"</f>
        <v>#VALUE!</v>
      </c>
      <c r="BK17" t="e">
        <f ca="1">EfW!BT2+"Ug1!UB"</f>
        <v>#VALUE!</v>
      </c>
      <c r="BL17" t="e">
        <f ca="1">EfW!BU2+"Ug1!UC"</f>
        <v>#VALUE!</v>
      </c>
      <c r="BM17" t="e">
        <f ca="1">EfW!BV2+"Ug1!UD"</f>
        <v>#VALUE!</v>
      </c>
      <c r="BN17" t="e">
        <f ca="1">EfW!BW2+"Ug1!UE"</f>
        <v>#VALUE!</v>
      </c>
      <c r="BO17" t="e">
        <f ca="1">EfW!BX2+"Ug1!UF"</f>
        <v>#VALUE!</v>
      </c>
      <c r="BP17" t="e">
        <f ca="1">EfW!BY2+"Ug1!UG"</f>
        <v>#VALUE!</v>
      </c>
      <c r="BQ17" t="e">
        <f ca="1">EfW!A3+"Ug1!UH"</f>
        <v>#VALUE!</v>
      </c>
      <c r="BR17" t="e">
        <f ca="1">EfW!B3+"Ug1!UI"</f>
        <v>#VALUE!</v>
      </c>
      <c r="BS17" t="e">
        <f ca="1">EfW!C3+"Ug1!UJ"</f>
        <v>#VALUE!</v>
      </c>
      <c r="BT17" t="e">
        <f ca="1">EfW!D3+"Ug1!UK"</f>
        <v>#VALUE!</v>
      </c>
      <c r="BU17" t="e">
        <f ca="1">EfW!E3+"Ug1!UL"</f>
        <v>#VALUE!</v>
      </c>
      <c r="BV17" t="e">
        <f ca="1">EfW!F3+"Ug1!UM"</f>
        <v>#VALUE!</v>
      </c>
      <c r="BW17" t="e">
        <f ca="1">EfW!G3+"Ug1!UN"</f>
        <v>#VALUE!</v>
      </c>
      <c r="BX17" t="e">
        <f ca="1">EfW!H3+"Ug1!UO"</f>
        <v>#VALUE!</v>
      </c>
      <c r="BY17" t="e">
        <f ca="1">EfW!J3+"Ug1!UP"</f>
        <v>#VALUE!</v>
      </c>
      <c r="BZ17" t="e">
        <f ca="1">EfW!K3+"Ug1!UQ"</f>
        <v>#VALUE!</v>
      </c>
      <c r="CA17" t="e">
        <f ca="1">EfW!L3+"Ug1!UR"</f>
        <v>#VALUE!</v>
      </c>
      <c r="CB17" t="e">
        <f ca="1">EfW!M3+"Ug1!US"</f>
        <v>#VALUE!</v>
      </c>
      <c r="CC17" t="e">
        <f ca="1">EfW!N3+"Ug1!UT"</f>
        <v>#VALUE!</v>
      </c>
      <c r="CD17" t="e">
        <f ca="1">EfW!O3+"Ug1!UU"</f>
        <v>#VALUE!</v>
      </c>
      <c r="CE17" t="e">
        <f ca="1">EfW!P3+"Ug1!UV"</f>
        <v>#VALUE!</v>
      </c>
      <c r="CF17" t="e">
        <f ca="1">EfW!Q3+"Ug1!UW"</f>
        <v>#VALUE!</v>
      </c>
      <c r="CG17" t="e">
        <f ca="1">EfW!R3+"Ug1!UX"</f>
        <v>#VALUE!</v>
      </c>
      <c r="CH17" t="e">
        <f ca="1">EfW!S3+"Ug1!UY"</f>
        <v>#VALUE!</v>
      </c>
      <c r="CI17" t="e">
        <f ca="1">EfW!T3+"Ug1!UZ"</f>
        <v>#VALUE!</v>
      </c>
      <c r="CJ17" t="e">
        <f ca="1">EfW!U3+"Ug1!U["</f>
        <v>#VALUE!</v>
      </c>
      <c r="CK17" t="e">
        <f ca="1">EfW!V3+"Ug1!U\"</f>
        <v>#VALUE!</v>
      </c>
      <c r="CL17" t="e">
        <f ca="1">EfW!W3+"Ug1!U]"</f>
        <v>#VALUE!</v>
      </c>
      <c r="CM17" t="e">
        <f ca="1">EfW!X3+"Ug1!U^"</f>
        <v>#VALUE!</v>
      </c>
      <c r="CN17" t="e">
        <f ca="1">EfW!Y3+"Ug1!U_"</f>
        <v>#VALUE!</v>
      </c>
      <c r="CO17" t="e">
        <f ca="1">EfW!Z3+"Ug1!U`"</f>
        <v>#VALUE!</v>
      </c>
      <c r="CP17" t="e">
        <f ca="1">EfW!AA3+"Ug1!Ua"</f>
        <v>#VALUE!</v>
      </c>
      <c r="CQ17" t="e">
        <f ca="1">EfW!AB3+"Ug1!Ub"</f>
        <v>#VALUE!</v>
      </c>
      <c r="CR17" t="e">
        <f ca="1">EfW!AC3+"Ug1!Uc"</f>
        <v>#VALUE!</v>
      </c>
      <c r="CS17" t="e">
        <f ca="1">EfW!AD3+"Ug1!Ud"</f>
        <v>#VALUE!</v>
      </c>
      <c r="CT17" t="e">
        <f ca="1">EfW!AE3+"Ug1!Ue"</f>
        <v>#VALUE!</v>
      </c>
      <c r="CU17" t="e">
        <f ca="1">EfW!AF3+"Ug1!Uf"</f>
        <v>#VALUE!</v>
      </c>
      <c r="CV17" t="e">
        <f ca="1">EfW!AG3+"Ug1!Ug"</f>
        <v>#VALUE!</v>
      </c>
      <c r="CW17" t="e">
        <f ca="1">EfW!AH3+"Ug1!Uh"</f>
        <v>#VALUE!</v>
      </c>
      <c r="CX17" t="e">
        <f ca="1">EfW!AI3+"Ug1!Ui"</f>
        <v>#VALUE!</v>
      </c>
      <c r="CY17" t="e">
        <f ca="1">EfW!AJ3+"Ug1!Uj"</f>
        <v>#VALUE!</v>
      </c>
      <c r="CZ17" t="e">
        <f ca="1">EfW!AK3+"Ug1!Uk"</f>
        <v>#VALUE!</v>
      </c>
      <c r="DA17" t="e">
        <f ca="1">EfW!AL3+"Ug1!Ul"</f>
        <v>#VALUE!</v>
      </c>
      <c r="DB17" t="e">
        <f ca="1">EfW!AM3+"Ug1!Um"</f>
        <v>#VALUE!</v>
      </c>
      <c r="DC17" t="e">
        <f ca="1">EfW!AN3+"Ug1!Un"</f>
        <v>#VALUE!</v>
      </c>
      <c r="DD17" t="e">
        <f ca="1">EfW!AO3+"Ug1!Uo"</f>
        <v>#VALUE!</v>
      </c>
      <c r="DE17" t="e">
        <f ca="1">EfW!AP3+"Ug1!Up"</f>
        <v>#VALUE!</v>
      </c>
      <c r="DF17" t="e">
        <f ca="1">EfW!AQ3+"Ug1!Uq"</f>
        <v>#VALUE!</v>
      </c>
      <c r="DG17" t="e">
        <f ca="1">EfW!AR3+"Ug1!Ur"</f>
        <v>#VALUE!</v>
      </c>
      <c r="DH17" t="e">
        <f ca="1">EfW!AS3+"Ug1!Us"</f>
        <v>#VALUE!</v>
      </c>
      <c r="DI17" t="e">
        <f ca="1">EfW!AT3+"Ug1!Ut"</f>
        <v>#VALUE!</v>
      </c>
      <c r="DJ17" t="e">
        <f ca="1">EfW!AU3+"Ug1!Uu"</f>
        <v>#VALUE!</v>
      </c>
      <c r="DK17" t="e">
        <f ca="1">EfW!AV3+"Ug1!Uv"</f>
        <v>#VALUE!</v>
      </c>
      <c r="DL17" t="e">
        <f ca="1">EfW!AW3+"Ug1!Uw"</f>
        <v>#VALUE!</v>
      </c>
      <c r="DM17" t="e">
        <f ca="1">EfW!AX3+"Ug1!Ux"</f>
        <v>#VALUE!</v>
      </c>
      <c r="DN17" t="e">
        <f ca="1">EfW!AY3+"Ug1!Uy"</f>
        <v>#VALUE!</v>
      </c>
      <c r="DO17" t="e">
        <f ca="1">EfW!AZ3+"Ug1!Uz"</f>
        <v>#VALUE!</v>
      </c>
      <c r="DP17" t="e">
        <f ca="1">EfW!BA3+"Ug1!U{"</f>
        <v>#VALUE!</v>
      </c>
      <c r="DQ17" t="e">
        <f ca="1">EfW!BB3+"Ug1!U|"</f>
        <v>#VALUE!</v>
      </c>
      <c r="DR17" t="e">
        <f ca="1">EfW!BC3+"Ug1!U}"</f>
        <v>#VALUE!</v>
      </c>
      <c r="DS17" t="e">
        <f ca="1">EfW!BD3+"Ug1!U~"</f>
        <v>#VALUE!</v>
      </c>
      <c r="DT17" t="e">
        <f ca="1">EfW!BE3+"Ug1!V#"</f>
        <v>#VALUE!</v>
      </c>
      <c r="DU17" t="e">
        <f ca="1">EfW!BF3+"Ug1!V$"</f>
        <v>#VALUE!</v>
      </c>
      <c r="DV17" t="e">
        <f ca="1">EfW!BG3+"Ug1!V%"</f>
        <v>#VALUE!</v>
      </c>
      <c r="DW17" t="e">
        <f ca="1">EfW!BH3+"Ug1!V&amp;"</f>
        <v>#VALUE!</v>
      </c>
      <c r="DX17" t="e">
        <f ca="1">EfW!BI3+"Ug1!V'"</f>
        <v>#VALUE!</v>
      </c>
      <c r="DY17" t="e">
        <f ca="1">EfW!BJ3+"Ug1!V("</f>
        <v>#VALUE!</v>
      </c>
      <c r="DZ17" t="e">
        <f ca="1">EfW!BK3+"Ug1!V)"</f>
        <v>#VALUE!</v>
      </c>
      <c r="EA17" t="e">
        <f ca="1">EfW!BL3+"Ug1!V."</f>
        <v>#VALUE!</v>
      </c>
      <c r="EB17" t="e">
        <f ca="1">EfW!BM3+"Ug1!V/"</f>
        <v>#VALUE!</v>
      </c>
      <c r="EC17" t="e">
        <f ca="1">EfW!BN3+"Ug1!V0"</f>
        <v>#VALUE!</v>
      </c>
      <c r="ED17" t="e">
        <f ca="1">EfW!BO3+"Ug1!V1"</f>
        <v>#VALUE!</v>
      </c>
      <c r="EE17" t="e">
        <f ca="1">EfW!BP3+"Ug1!V2"</f>
        <v>#VALUE!</v>
      </c>
      <c r="EF17" t="e">
        <f ca="1">EfW!BQ3+"Ug1!V3"</f>
        <v>#VALUE!</v>
      </c>
      <c r="EG17" t="e">
        <f ca="1">EfW!BR3+"Ug1!V4"</f>
        <v>#VALUE!</v>
      </c>
      <c r="EH17" t="e">
        <f ca="1">EfW!BS3+"Ug1!V5"</f>
        <v>#VALUE!</v>
      </c>
      <c r="EI17" t="e">
        <f ca="1">EfW!BT3+"Ug1!V6"</f>
        <v>#VALUE!</v>
      </c>
      <c r="EJ17" t="e">
        <f ca="1">EfW!BU3+"Ug1!V7"</f>
        <v>#VALUE!</v>
      </c>
      <c r="EK17" t="e">
        <f ca="1">EfW!BV3+"Ug1!V8"</f>
        <v>#VALUE!</v>
      </c>
      <c r="EL17" t="e">
        <f ca="1">EfW!BW3+"Ug1!V9"</f>
        <v>#VALUE!</v>
      </c>
      <c r="EM17" t="e">
        <f ca="1">EfW!BX3+"Ug1!V:"</f>
        <v>#VALUE!</v>
      </c>
      <c r="EN17" t="e">
        <f ca="1">EfW!BY3+"Ug1!V;"</f>
        <v>#VALUE!</v>
      </c>
      <c r="EO17" t="e">
        <f ca="1">EfW!A4+"Ug1!V&lt;"</f>
        <v>#VALUE!</v>
      </c>
      <c r="EP17" t="e">
        <f ca="1">EfW!B4+"Ug1!V="</f>
        <v>#VALUE!</v>
      </c>
      <c r="EQ17" t="e">
        <f ca="1">EfW!C4+"Ug1!V&gt;"</f>
        <v>#VALUE!</v>
      </c>
      <c r="ER17" t="e">
        <f ca="1">EfW!D4+"Ug1!V?"</f>
        <v>#VALUE!</v>
      </c>
      <c r="ES17" t="e">
        <f ca="1">EfW!E4+"Ug1!V@"</f>
        <v>#VALUE!</v>
      </c>
      <c r="ET17" t="e">
        <f ca="1">EfW!F4+"Ug1!VA"</f>
        <v>#VALUE!</v>
      </c>
      <c r="EU17" t="e">
        <f ca="1">EfW!G4+"Ug1!VB"</f>
        <v>#VALUE!</v>
      </c>
      <c r="EV17" t="e">
        <f ca="1">EfW!J4+"Ug1!VC"</f>
        <v>#VALUE!</v>
      </c>
      <c r="EW17" t="e">
        <f ca="1">EfW!K4+"Ug1!VD"</f>
        <v>#VALUE!</v>
      </c>
      <c r="EX17" t="e">
        <f ca="1">EfW!L4+"Ug1!VE"</f>
        <v>#VALUE!</v>
      </c>
      <c r="EY17" t="e">
        <f ca="1">EfW!M4+"Ug1!VF"</f>
        <v>#VALUE!</v>
      </c>
      <c r="EZ17" t="e">
        <f ca="1">EfW!N4+"Ug1!VG"</f>
        <v>#VALUE!</v>
      </c>
      <c r="FA17" t="e">
        <f ca="1">EfW!O4+"Ug1!VH"</f>
        <v>#VALUE!</v>
      </c>
      <c r="FB17" t="e">
        <f ca="1">EfW!P4+"Ug1!VI"</f>
        <v>#VALUE!</v>
      </c>
      <c r="FC17" t="e">
        <f ca="1">EfW!Q4+"Ug1!VJ"</f>
        <v>#VALUE!</v>
      </c>
      <c r="FD17" t="e">
        <f ca="1">EfW!R4+"Ug1!VK"</f>
        <v>#VALUE!</v>
      </c>
      <c r="FE17" t="e">
        <f ca="1">EfW!S4+"Ug1!VL"</f>
        <v>#VALUE!</v>
      </c>
      <c r="FF17" t="e">
        <f ca="1">EfW!T4+"Ug1!VM"</f>
        <v>#VALUE!</v>
      </c>
      <c r="FG17" t="e">
        <f ca="1">EfW!U4+"Ug1!VN"</f>
        <v>#VALUE!</v>
      </c>
      <c r="FH17" t="e">
        <f ca="1">EfW!V4+"Ug1!VO"</f>
        <v>#VALUE!</v>
      </c>
      <c r="FI17" t="e">
        <f ca="1">EfW!W4+"Ug1!VP"</f>
        <v>#VALUE!</v>
      </c>
      <c r="FJ17" t="e">
        <f ca="1">EfW!X4+"Ug1!VQ"</f>
        <v>#VALUE!</v>
      </c>
      <c r="FK17" t="e">
        <f ca="1">EfW!Y4+"Ug1!VR"</f>
        <v>#VALUE!</v>
      </c>
      <c r="FL17" t="e">
        <f ca="1">EfW!Z4+"Ug1!VS"</f>
        <v>#VALUE!</v>
      </c>
      <c r="FM17" t="e">
        <f ca="1">EfW!AA4+"Ug1!VT"</f>
        <v>#VALUE!</v>
      </c>
      <c r="FN17" t="e">
        <f ca="1">EfW!AB4+"Ug1!VU"</f>
        <v>#VALUE!</v>
      </c>
      <c r="FO17" t="e">
        <f ca="1">EfW!AC4+"Ug1!VV"</f>
        <v>#VALUE!</v>
      </c>
      <c r="FP17" t="e">
        <f ca="1">EfW!AD4+"Ug1!VW"</f>
        <v>#VALUE!</v>
      </c>
      <c r="FQ17" t="e">
        <f ca="1">EfW!AE4+"Ug1!VX"</f>
        <v>#VALUE!</v>
      </c>
      <c r="FR17" t="e">
        <f ca="1">EfW!AF4+"Ug1!VY"</f>
        <v>#VALUE!</v>
      </c>
      <c r="FS17" t="e">
        <f ca="1">EfW!AG4+"Ug1!VZ"</f>
        <v>#VALUE!</v>
      </c>
      <c r="FT17" t="e">
        <f ca="1">EfW!AH4+"Ug1!V["</f>
        <v>#VALUE!</v>
      </c>
      <c r="FU17" t="e">
        <f ca="1">EfW!AI4+"Ug1!V\"</f>
        <v>#VALUE!</v>
      </c>
      <c r="FV17" t="e">
        <f ca="1">EfW!AJ4+"Ug1!V]"</f>
        <v>#VALUE!</v>
      </c>
      <c r="FW17" t="e">
        <f ca="1">EfW!AK4+"Ug1!V^"</f>
        <v>#VALUE!</v>
      </c>
      <c r="FX17" t="e">
        <f ca="1">EfW!AL4+"Ug1!V_"</f>
        <v>#VALUE!</v>
      </c>
      <c r="FY17" t="e">
        <f ca="1">EfW!AM4+"Ug1!V`"</f>
        <v>#VALUE!</v>
      </c>
      <c r="FZ17" t="e">
        <f ca="1">EfW!AN4+"Ug1!Va"</f>
        <v>#VALUE!</v>
      </c>
      <c r="GA17" t="e">
        <f ca="1">EfW!AO4+"Ug1!Vb"</f>
        <v>#VALUE!</v>
      </c>
      <c r="GB17" t="e">
        <f ca="1">EfW!AP4+"Ug1!Vc"</f>
        <v>#VALUE!</v>
      </c>
      <c r="GC17" t="e">
        <f ca="1">EfW!AQ4+"Ug1!Vd"</f>
        <v>#VALUE!</v>
      </c>
      <c r="GD17" t="e">
        <f ca="1">EfW!AR4+"Ug1!Ve"</f>
        <v>#VALUE!</v>
      </c>
      <c r="GE17" t="e">
        <f ca="1">EfW!AS4+"Ug1!Vf"</f>
        <v>#VALUE!</v>
      </c>
      <c r="GF17" t="e">
        <f ca="1">EfW!AT4+"Ug1!Vg"</f>
        <v>#VALUE!</v>
      </c>
      <c r="GG17" t="e">
        <f ca="1">EfW!AU4+"Ug1!Vh"</f>
        <v>#VALUE!</v>
      </c>
      <c r="GH17" t="e">
        <f ca="1">EfW!AV4+"Ug1!Vi"</f>
        <v>#VALUE!</v>
      </c>
      <c r="GI17" t="e">
        <f ca="1">EfW!AW4+"Ug1!Vj"</f>
        <v>#VALUE!</v>
      </c>
      <c r="GJ17" t="e">
        <f ca="1">EfW!AX4+"Ug1!Vk"</f>
        <v>#VALUE!</v>
      </c>
      <c r="GK17" t="e">
        <f ca="1">EfW!AY4+"Ug1!Vl"</f>
        <v>#VALUE!</v>
      </c>
      <c r="GL17" t="e">
        <f ca="1">EfW!AZ4+"Ug1!Vm"</f>
        <v>#VALUE!</v>
      </c>
      <c r="GM17" t="e">
        <f ca="1">EfW!BA4+"Ug1!Vn"</f>
        <v>#VALUE!</v>
      </c>
      <c r="GN17" t="e">
        <f ca="1">EfW!BB4+"Ug1!Vo"</f>
        <v>#VALUE!</v>
      </c>
      <c r="GO17" t="e">
        <f ca="1">EfW!BC4+"Ug1!Vp"</f>
        <v>#VALUE!</v>
      </c>
      <c r="GP17" t="e">
        <f ca="1">EfW!BD4+"Ug1!Vq"</f>
        <v>#VALUE!</v>
      </c>
      <c r="GQ17" t="e">
        <f ca="1">EfW!BE4+"Ug1!Vr"</f>
        <v>#VALUE!</v>
      </c>
      <c r="GR17" t="e">
        <f ca="1">EfW!BF4+"Ug1!Vs"</f>
        <v>#VALUE!</v>
      </c>
      <c r="GS17" t="e">
        <f ca="1">EfW!BG4+"Ug1!Vt"</f>
        <v>#VALUE!</v>
      </c>
      <c r="GT17" t="e">
        <f ca="1">EfW!BH4+"Ug1!Vu"</f>
        <v>#VALUE!</v>
      </c>
      <c r="GU17" t="e">
        <f ca="1">EfW!BI4+"Ug1!Vv"</f>
        <v>#VALUE!</v>
      </c>
      <c r="GV17" t="e">
        <f ca="1">EfW!BJ4+"Ug1!Vw"</f>
        <v>#VALUE!</v>
      </c>
      <c r="GW17" t="e">
        <f ca="1">EfW!BK4+"Ug1!Vx"</f>
        <v>#VALUE!</v>
      </c>
      <c r="GX17" t="e">
        <f ca="1">EfW!BL4+"Ug1!Vy"</f>
        <v>#VALUE!</v>
      </c>
      <c r="GY17" t="e">
        <f ca="1">EfW!BM4+"Ug1!Vz"</f>
        <v>#VALUE!</v>
      </c>
      <c r="GZ17" t="e">
        <f ca="1">EfW!BN4+"Ug1!V{"</f>
        <v>#VALUE!</v>
      </c>
      <c r="HA17" t="e">
        <f ca="1">EfW!BO4+"Ug1!V|"</f>
        <v>#VALUE!</v>
      </c>
      <c r="HB17" t="e">
        <f ca="1">EfW!BP4+"Ug1!V}"</f>
        <v>#VALUE!</v>
      </c>
      <c r="HC17" t="e">
        <f ca="1">EfW!BQ4+"Ug1!V~"</f>
        <v>#VALUE!</v>
      </c>
      <c r="HD17" t="e">
        <f ca="1">EfW!BR4+"Ug1!W#"</f>
        <v>#VALUE!</v>
      </c>
      <c r="HE17" t="e">
        <f ca="1">EfW!BS4+"Ug1!W$"</f>
        <v>#VALUE!</v>
      </c>
      <c r="HF17" t="e">
        <f ca="1">EfW!BT4+"Ug1!W%"</f>
        <v>#VALUE!</v>
      </c>
      <c r="HG17" t="e">
        <f ca="1">EfW!BU4+"Ug1!W&amp;"</f>
        <v>#VALUE!</v>
      </c>
      <c r="HH17" t="e">
        <f ca="1">EfW!BV4+"Ug1!W'"</f>
        <v>#VALUE!</v>
      </c>
      <c r="HI17" t="e">
        <f ca="1">EfW!BW4+"Ug1!W("</f>
        <v>#VALUE!</v>
      </c>
      <c r="HJ17" t="e">
        <f ca="1">EfW!BX4+"Ug1!W)"</f>
        <v>#VALUE!</v>
      </c>
      <c r="HK17" t="e">
        <f ca="1">EfW!BY4+"Ug1!W."</f>
        <v>#VALUE!</v>
      </c>
      <c r="HL17" t="e">
        <f ca="1">EfW!A5+"Ug1!W/"</f>
        <v>#VALUE!</v>
      </c>
      <c r="HM17" t="e">
        <f ca="1">EfW!B5+"Ug1!W0"</f>
        <v>#VALUE!</v>
      </c>
      <c r="HN17" t="e">
        <f ca="1">EfW!C5+"Ug1!W1"</f>
        <v>#VALUE!</v>
      </c>
      <c r="HO17" t="e">
        <f ca="1">EfW!D5+"Ug1!W2"</f>
        <v>#VALUE!</v>
      </c>
      <c r="HP17" t="e">
        <f ca="1">EfW!E5+"Ug1!W3"</f>
        <v>#VALUE!</v>
      </c>
      <c r="HQ17" t="e">
        <f ca="1">EfW!F5+"Ug1!W4"</f>
        <v>#VALUE!</v>
      </c>
      <c r="HR17" t="e">
        <f ca="1">EfW!G5+"Ug1!W5"</f>
        <v>#VALUE!</v>
      </c>
      <c r="HS17" t="e">
        <f ca="1">EfW!H5+"Ug1!W6"</f>
        <v>#VALUE!</v>
      </c>
      <c r="HT17" t="e">
        <f ca="1">EfW!J5+"Ug1!W7"</f>
        <v>#VALUE!</v>
      </c>
      <c r="HU17" t="e">
        <f ca="1">EfW!K5+"Ug1!W8"</f>
        <v>#VALUE!</v>
      </c>
      <c r="HV17" t="e">
        <f ca="1">EfW!L5+"Ug1!W9"</f>
        <v>#VALUE!</v>
      </c>
      <c r="HW17" t="e">
        <f ca="1">EfW!M5+"Ug1!W:"</f>
        <v>#VALUE!</v>
      </c>
      <c r="HX17" t="e">
        <f ca="1">EfW!N5+"Ug1!W;"</f>
        <v>#VALUE!</v>
      </c>
      <c r="HY17" t="e">
        <f ca="1">EfW!O5+"Ug1!W&lt;"</f>
        <v>#VALUE!</v>
      </c>
      <c r="HZ17" t="e">
        <f ca="1">EfW!P5+"Ug1!W="</f>
        <v>#VALUE!</v>
      </c>
      <c r="IA17" t="e">
        <f ca="1">EfW!Q5+"Ug1!W&gt;"</f>
        <v>#VALUE!</v>
      </c>
      <c r="IB17" t="e">
        <f ca="1">EfW!R5+"Ug1!W?"</f>
        <v>#VALUE!</v>
      </c>
      <c r="IC17" t="e">
        <f ca="1">EfW!S5+"Ug1!W@"</f>
        <v>#VALUE!</v>
      </c>
      <c r="ID17" t="e">
        <f ca="1">EfW!T5+"Ug1!WA"</f>
        <v>#VALUE!</v>
      </c>
      <c r="IE17" t="e">
        <f ca="1">EfW!U5+"Ug1!WB"</f>
        <v>#VALUE!</v>
      </c>
      <c r="IF17" t="e">
        <f ca="1">EfW!V5+"Ug1!WC"</f>
        <v>#VALUE!</v>
      </c>
      <c r="IG17" t="e">
        <f ca="1">EfW!W5+"Ug1!WD"</f>
        <v>#VALUE!</v>
      </c>
      <c r="IH17" t="e">
        <f ca="1">EfW!X5+"Ug1!WE"</f>
        <v>#VALUE!</v>
      </c>
      <c r="II17" t="e">
        <f ca="1">EfW!Y5+"Ug1!WF"</f>
        <v>#VALUE!</v>
      </c>
      <c r="IJ17" t="e">
        <f ca="1">EfW!Z5+"Ug1!WG"</f>
        <v>#VALUE!</v>
      </c>
      <c r="IK17" t="e">
        <f ca="1">EfW!AA5+"Ug1!WH"</f>
        <v>#VALUE!</v>
      </c>
      <c r="IL17" t="e">
        <f ca="1">EfW!AB5+"Ug1!WI"</f>
        <v>#VALUE!</v>
      </c>
      <c r="IM17" t="e">
        <f ca="1">EfW!AC5+"Ug1!WJ"</f>
        <v>#VALUE!</v>
      </c>
      <c r="IN17" t="e">
        <f ca="1">EfW!AD5+"Ug1!WK"</f>
        <v>#VALUE!</v>
      </c>
      <c r="IO17" t="e">
        <f ca="1">EfW!AE5+"Ug1!WL"</f>
        <v>#VALUE!</v>
      </c>
      <c r="IP17" t="e">
        <f ca="1">EfW!AF5+"Ug1!WM"</f>
        <v>#VALUE!</v>
      </c>
      <c r="IQ17" t="e">
        <f ca="1">EfW!AG5+"Ug1!WN"</f>
        <v>#VALUE!</v>
      </c>
      <c r="IR17" t="e">
        <f ca="1">EfW!AH5+"Ug1!WO"</f>
        <v>#VALUE!</v>
      </c>
      <c r="IS17" t="e">
        <f ca="1">EfW!AI5+"Ug1!WP"</f>
        <v>#VALUE!</v>
      </c>
      <c r="IT17" t="e">
        <f ca="1">EfW!AJ5+"Ug1!WQ"</f>
        <v>#VALUE!</v>
      </c>
      <c r="IU17" t="e">
        <f ca="1">EfW!AK5+"Ug1!WR"</f>
        <v>#VALUE!</v>
      </c>
      <c r="IV17" t="e">
        <f ca="1">EfW!AL5+"Ug1!WS"</f>
        <v>#VALUE!</v>
      </c>
    </row>
    <row r="18" spans="6:256" x14ac:dyDescent="0.2">
      <c r="F18" t="e">
        <f ca="1">EfW!AM5+"Ug1!WT"</f>
        <v>#VALUE!</v>
      </c>
      <c r="G18" t="e">
        <f ca="1">EfW!AN5+"Ug1!WU"</f>
        <v>#VALUE!</v>
      </c>
      <c r="H18" t="e">
        <f ca="1">EfW!AO5+"Ug1!WV"</f>
        <v>#VALUE!</v>
      </c>
      <c r="I18" t="e">
        <f ca="1">EfW!AP5+"Ug1!WW"</f>
        <v>#VALUE!</v>
      </c>
      <c r="J18" t="e">
        <f ca="1">EfW!AQ5+"Ug1!WX"</f>
        <v>#VALUE!</v>
      </c>
      <c r="K18" t="e">
        <f ca="1">EfW!AR5+"Ug1!WY"</f>
        <v>#VALUE!</v>
      </c>
      <c r="L18" t="e">
        <f ca="1">EfW!AS5+"Ug1!WZ"</f>
        <v>#VALUE!</v>
      </c>
      <c r="M18" t="e">
        <f ca="1">EfW!AT5+"Ug1!W["</f>
        <v>#VALUE!</v>
      </c>
      <c r="N18" t="e">
        <f ca="1">EfW!AU5+"Ug1!W\"</f>
        <v>#VALUE!</v>
      </c>
      <c r="O18" t="e">
        <f ca="1">EfW!AV5+"Ug1!W]"</f>
        <v>#VALUE!</v>
      </c>
      <c r="P18" t="e">
        <f ca="1">EfW!AW5+"Ug1!W^"</f>
        <v>#VALUE!</v>
      </c>
      <c r="Q18" t="e">
        <f ca="1">EfW!AX5+"Ug1!W_"</f>
        <v>#VALUE!</v>
      </c>
      <c r="R18" t="e">
        <f ca="1">EfW!AY5+"Ug1!W`"</f>
        <v>#VALUE!</v>
      </c>
      <c r="S18" t="e">
        <f ca="1">EfW!AZ5+"Ug1!Wa"</f>
        <v>#VALUE!</v>
      </c>
      <c r="T18" t="e">
        <f ca="1">EfW!BA5+"Ug1!Wb"</f>
        <v>#VALUE!</v>
      </c>
      <c r="U18" t="e">
        <f ca="1">EfW!BB5+"Ug1!Wc"</f>
        <v>#VALUE!</v>
      </c>
      <c r="V18" t="e">
        <f ca="1">EfW!BC5+"Ug1!Wd"</f>
        <v>#VALUE!</v>
      </c>
      <c r="W18" t="e">
        <f ca="1">EfW!BD5+"Ug1!We"</f>
        <v>#VALUE!</v>
      </c>
      <c r="X18" t="e">
        <f ca="1">EfW!BE5+"Ug1!Wf"</f>
        <v>#VALUE!</v>
      </c>
      <c r="Y18" t="e">
        <f ca="1">EfW!BF5+"Ug1!Wg"</f>
        <v>#VALUE!</v>
      </c>
      <c r="Z18" t="e">
        <f ca="1">EfW!BG5+"Ug1!Wh"</f>
        <v>#VALUE!</v>
      </c>
      <c r="AA18" t="e">
        <f ca="1">EfW!BH5+"Ug1!Wi"</f>
        <v>#VALUE!</v>
      </c>
      <c r="AB18" t="e">
        <f ca="1">EfW!BI5+"Ug1!Wj"</f>
        <v>#VALUE!</v>
      </c>
      <c r="AC18" t="e">
        <f ca="1">EfW!BJ5+"Ug1!Wk"</f>
        <v>#VALUE!</v>
      </c>
      <c r="AD18" t="e">
        <f ca="1">EfW!BK5+"Ug1!Wl"</f>
        <v>#VALUE!</v>
      </c>
      <c r="AE18" t="e">
        <f ca="1">EfW!BL5+"Ug1!Wm"</f>
        <v>#VALUE!</v>
      </c>
      <c r="AF18" t="e">
        <f ca="1">EfW!BM5+"Ug1!Wn"</f>
        <v>#VALUE!</v>
      </c>
      <c r="AG18" t="e">
        <f ca="1">EfW!BN5+"Ug1!Wo"</f>
        <v>#VALUE!</v>
      </c>
      <c r="AH18" t="e">
        <f ca="1">EfW!BO5+"Ug1!Wp"</f>
        <v>#VALUE!</v>
      </c>
      <c r="AI18" t="e">
        <f ca="1">EfW!BP5+"Ug1!Wq"</f>
        <v>#VALUE!</v>
      </c>
      <c r="AJ18" t="e">
        <f ca="1">EfW!BQ5+"Ug1!Wr"</f>
        <v>#VALUE!</v>
      </c>
      <c r="AK18" t="e">
        <f ca="1">EfW!BR5+"Ug1!Ws"</f>
        <v>#VALUE!</v>
      </c>
      <c r="AL18" t="e">
        <f ca="1">EfW!BS5+"Ug1!Wt"</f>
        <v>#VALUE!</v>
      </c>
      <c r="AM18" t="e">
        <f ca="1">EfW!BT5+"Ug1!Wu"</f>
        <v>#VALUE!</v>
      </c>
      <c r="AN18" t="e">
        <f ca="1">EfW!BU5+"Ug1!Wv"</f>
        <v>#VALUE!</v>
      </c>
      <c r="AO18" t="e">
        <f ca="1">EfW!BV5+"Ug1!Ww"</f>
        <v>#VALUE!</v>
      </c>
      <c r="AP18" t="e">
        <f ca="1">EfW!BW5+"Ug1!Wx"</f>
        <v>#VALUE!</v>
      </c>
      <c r="AQ18" t="e">
        <f ca="1">EfW!BX5+"Ug1!Wy"</f>
        <v>#VALUE!</v>
      </c>
      <c r="AR18" t="e">
        <f ca="1">EfW!BY5+"Ug1!Wz"</f>
        <v>#VALUE!</v>
      </c>
      <c r="AS18" t="e">
        <f ca="1">EfW!A7+"Ug1!W{"</f>
        <v>#VALUE!</v>
      </c>
      <c r="AT18" t="e">
        <f ca="1">EfW!B9+"Ug1!W|"</f>
        <v>#VALUE!</v>
      </c>
      <c r="AU18" t="e">
        <f ca="1">EfW!E10+"Ug1!W}"</f>
        <v>#VALUE!</v>
      </c>
      <c r="AV18" t="e">
        <f ca="1">EfW!F10+"Ug1!W~"</f>
        <v>#VALUE!</v>
      </c>
      <c r="AW18" t="e">
        <f ca="1">EfW!G10+"Ug1!X#"</f>
        <v>#VALUE!</v>
      </c>
      <c r="AX18" t="e">
        <f ca="1">EfW!A11+"Ug1!X$"</f>
        <v>#VALUE!</v>
      </c>
      <c r="AY18" t="e">
        <f ca="1">EfW!B11+"Ug1!X%"</f>
        <v>#VALUE!</v>
      </c>
      <c r="AZ18" t="e">
        <f ca="1">EfW!C11+"Ug1!X&amp;"</f>
        <v>#VALUE!</v>
      </c>
      <c r="BA18" t="e">
        <f ca="1">EfW!D11+"Ug1!X'"</f>
        <v>#VALUE!</v>
      </c>
      <c r="BB18" t="e">
        <f ca="1">EfW!E11+"Ug1!X("</f>
        <v>#VALUE!</v>
      </c>
      <c r="BC18" t="e">
        <f ca="1">EfW!F11+"Ug1!X)"</f>
        <v>#VALUE!</v>
      </c>
      <c r="BD18" t="e">
        <f ca="1">EfW!G11+"Ug1!X."</f>
        <v>#VALUE!</v>
      </c>
      <c r="BE18" t="e">
        <f ca="1">EfW!H11+"Ug1!X/"</f>
        <v>#VALUE!</v>
      </c>
      <c r="BF18" t="e">
        <f ca="1">EfW!I11+"Ug1!X0"</f>
        <v>#VALUE!</v>
      </c>
      <c r="BG18" t="e">
        <f ca="1">EfW!J11+"Ug1!X1"</f>
        <v>#VALUE!</v>
      </c>
      <c r="BH18" t="e">
        <f ca="1">EfW!K11+"Ug1!X2"</f>
        <v>#VALUE!</v>
      </c>
      <c r="BI18" t="e">
        <f ca="1">EfW!L11+"Ug1!X3"</f>
        <v>#VALUE!</v>
      </c>
      <c r="BJ18" t="e">
        <f ca="1">EfW!M11+"Ug1!X4"</f>
        <v>#VALUE!</v>
      </c>
      <c r="BK18" t="e">
        <f ca="1">EfW!N11+"Ug1!X5"</f>
        <v>#VALUE!</v>
      </c>
      <c r="BL18" t="e">
        <f ca="1">EfW!O11+"Ug1!X6"</f>
        <v>#VALUE!</v>
      </c>
      <c r="BM18" t="e">
        <f ca="1">EfW!P11+"Ug1!X7"</f>
        <v>#VALUE!</v>
      </c>
      <c r="BN18" t="e">
        <f ca="1">EfW!Q11+"Ug1!X8"</f>
        <v>#VALUE!</v>
      </c>
      <c r="BO18" t="e">
        <f ca="1">EfW!R11+"Ug1!X9"</f>
        <v>#VALUE!</v>
      </c>
      <c r="BP18" t="e">
        <f ca="1">EfW!S11+"Ug1!X:"</f>
        <v>#VALUE!</v>
      </c>
      <c r="BQ18" t="e">
        <f ca="1">EfW!T11+"Ug1!X;"</f>
        <v>#VALUE!</v>
      </c>
      <c r="BR18" t="e">
        <f ca="1">EfW!U11+"Ug1!X&lt;"</f>
        <v>#VALUE!</v>
      </c>
      <c r="BS18" t="e">
        <f ca="1">EfW!V11+"Ug1!X="</f>
        <v>#VALUE!</v>
      </c>
      <c r="BT18" t="e">
        <f ca="1">EfW!W11+"Ug1!X&gt;"</f>
        <v>#VALUE!</v>
      </c>
      <c r="BU18" t="e">
        <f ca="1">EfW!X11+"Ug1!X?"</f>
        <v>#VALUE!</v>
      </c>
      <c r="BV18" t="e">
        <f ca="1">EfW!Y11+"Ug1!X@"</f>
        <v>#VALUE!</v>
      </c>
      <c r="BW18" t="e">
        <f ca="1">EfW!Z11+"Ug1!XA"</f>
        <v>#VALUE!</v>
      </c>
      <c r="BX18" t="e">
        <f ca="1">EfW!AA11+"Ug1!XB"</f>
        <v>#VALUE!</v>
      </c>
      <c r="BY18" t="e">
        <f ca="1">EfW!AB11+"Ug1!XC"</f>
        <v>#VALUE!</v>
      </c>
      <c r="BZ18" t="e">
        <f ca="1">EfW!AC11+"Ug1!XD"</f>
        <v>#VALUE!</v>
      </c>
      <c r="CA18" t="e">
        <f ca="1">EfW!AD11+"Ug1!XE"</f>
        <v>#VALUE!</v>
      </c>
      <c r="CB18" t="e">
        <f ca="1">EfW!AE11+"Ug1!XF"</f>
        <v>#VALUE!</v>
      </c>
      <c r="CC18" t="e">
        <f ca="1">EfW!AF11+"Ug1!XG"</f>
        <v>#VALUE!</v>
      </c>
      <c r="CD18" t="e">
        <f ca="1">EfW!AG11+"Ug1!XH"</f>
        <v>#VALUE!</v>
      </c>
      <c r="CE18" t="e">
        <f ca="1">EfW!AH11+"Ug1!XI"</f>
        <v>#VALUE!</v>
      </c>
      <c r="CF18" t="e">
        <f ca="1">EfW!AI11+"Ug1!XJ"</f>
        <v>#VALUE!</v>
      </c>
      <c r="CG18" t="e">
        <f ca="1">EfW!AJ11+"Ug1!XK"</f>
        <v>#VALUE!</v>
      </c>
      <c r="CH18" t="e">
        <f ca="1">EfW!AK11+"Ug1!XL"</f>
        <v>#VALUE!</v>
      </c>
      <c r="CI18" t="e">
        <f ca="1">EfW!AL11+"Ug1!XM"</f>
        <v>#VALUE!</v>
      </c>
      <c r="CJ18" t="e">
        <f ca="1">EfW!AM11+"Ug1!XN"</f>
        <v>#VALUE!</v>
      </c>
      <c r="CK18" t="e">
        <f ca="1">EfW!AN11+"Ug1!XO"</f>
        <v>#VALUE!</v>
      </c>
      <c r="CL18" t="e">
        <f ca="1">EfW!AO11+"Ug1!XP"</f>
        <v>#VALUE!</v>
      </c>
      <c r="CM18" t="e">
        <f ca="1">EfW!AP11+"Ug1!XQ"</f>
        <v>#VALUE!</v>
      </c>
      <c r="CN18" t="e">
        <f ca="1">EfW!AQ11+"Ug1!XR"</f>
        <v>#VALUE!</v>
      </c>
      <c r="CO18" t="e">
        <f ca="1">EfW!AR11+"Ug1!XS"</f>
        <v>#VALUE!</v>
      </c>
      <c r="CP18" t="e">
        <f ca="1">EfW!AS11+"Ug1!XT"</f>
        <v>#VALUE!</v>
      </c>
      <c r="CQ18" t="e">
        <f ca="1">EfW!AT11+"Ug1!XU"</f>
        <v>#VALUE!</v>
      </c>
      <c r="CR18" t="e">
        <f ca="1">EfW!AU11+"Ug1!XV"</f>
        <v>#VALUE!</v>
      </c>
      <c r="CS18" t="e">
        <f ca="1">EfW!AV11+"Ug1!XW"</f>
        <v>#VALUE!</v>
      </c>
      <c r="CT18" t="e">
        <f ca="1">EfW!AW11+"Ug1!XX"</f>
        <v>#VALUE!</v>
      </c>
      <c r="CU18" t="e">
        <f ca="1">EfW!AX11+"Ug1!XY"</f>
        <v>#VALUE!</v>
      </c>
      <c r="CV18" t="e">
        <f ca="1">EfW!AY11+"Ug1!XZ"</f>
        <v>#VALUE!</v>
      </c>
      <c r="CW18" t="e">
        <f ca="1">EfW!AZ11+"Ug1!X["</f>
        <v>#VALUE!</v>
      </c>
      <c r="CX18" t="e">
        <f ca="1">EfW!BA11+"Ug1!X\"</f>
        <v>#VALUE!</v>
      </c>
      <c r="CY18" t="e">
        <f ca="1">EfW!BB11+"Ug1!X]"</f>
        <v>#VALUE!</v>
      </c>
      <c r="CZ18" t="e">
        <f ca="1">EfW!BC11+"Ug1!X^"</f>
        <v>#VALUE!</v>
      </c>
      <c r="DA18" t="e">
        <f ca="1">EfW!BD11+"Ug1!X_"</f>
        <v>#VALUE!</v>
      </c>
      <c r="DB18" t="e">
        <f ca="1">EfW!BE11+"Ug1!X`"</f>
        <v>#VALUE!</v>
      </c>
      <c r="DC18" t="e">
        <f ca="1">EfW!BF11+"Ug1!Xa"</f>
        <v>#VALUE!</v>
      </c>
      <c r="DD18" t="e">
        <f ca="1">EfW!BG11+"Ug1!Xb"</f>
        <v>#VALUE!</v>
      </c>
      <c r="DE18" t="e">
        <f ca="1">EfW!BH11+"Ug1!Xc"</f>
        <v>#VALUE!</v>
      </c>
      <c r="DF18" t="e">
        <f ca="1">EfW!BI11+"Ug1!Xd"</f>
        <v>#VALUE!</v>
      </c>
      <c r="DG18" t="e">
        <f ca="1">EfW!BJ11+"Ug1!Xe"</f>
        <v>#VALUE!</v>
      </c>
      <c r="DH18" t="e">
        <f ca="1">EfW!BK11+"Ug1!Xf"</f>
        <v>#VALUE!</v>
      </c>
      <c r="DI18" t="e">
        <f ca="1">EfW!BL11+"Ug1!Xg"</f>
        <v>#VALUE!</v>
      </c>
      <c r="DJ18" t="e">
        <f ca="1">EfW!BM11+"Ug1!Xh"</f>
        <v>#VALUE!</v>
      </c>
      <c r="DK18" t="e">
        <f ca="1">EfW!BN11+"Ug1!Xi"</f>
        <v>#VALUE!</v>
      </c>
      <c r="DL18" t="e">
        <f ca="1">EfW!BO11+"Ug1!Xj"</f>
        <v>#VALUE!</v>
      </c>
      <c r="DM18" t="e">
        <f ca="1">EfW!BP11+"Ug1!Xk"</f>
        <v>#VALUE!</v>
      </c>
      <c r="DN18" t="e">
        <f ca="1">EfW!BQ11+"Ug1!Xl"</f>
        <v>#VALUE!</v>
      </c>
      <c r="DO18" t="e">
        <f ca="1">EfW!BR11+"Ug1!Xm"</f>
        <v>#VALUE!</v>
      </c>
      <c r="DP18" t="e">
        <f ca="1">EfW!BS11+"Ug1!Xn"</f>
        <v>#VALUE!</v>
      </c>
      <c r="DQ18" t="e">
        <f ca="1">EfW!BT11+"Ug1!Xo"</f>
        <v>#VALUE!</v>
      </c>
      <c r="DR18" t="e">
        <f ca="1">EfW!BU11+"Ug1!Xp"</f>
        <v>#VALUE!</v>
      </c>
      <c r="DS18" t="e">
        <f ca="1">EfW!BV11+"Ug1!Xq"</f>
        <v>#VALUE!</v>
      </c>
      <c r="DT18" t="e">
        <f ca="1">EfW!BW11+"Ug1!Xr"</f>
        <v>#VALUE!</v>
      </c>
      <c r="DU18" t="e">
        <f ca="1">EfW!BX11+"Ug1!Xs"</f>
        <v>#VALUE!</v>
      </c>
      <c r="DV18" t="e">
        <f ca="1">EfW!BY11+"Ug1!Xt"</f>
        <v>#VALUE!</v>
      </c>
      <c r="DW18" t="e">
        <f ca="1">EfW!E12+"Ug1!Xu"</f>
        <v>#VALUE!</v>
      </c>
      <c r="DX18" t="e">
        <f ca="1">EfW!G12+"Ug1!Xv"</f>
        <v>#VALUE!</v>
      </c>
      <c r="DY18" t="e">
        <f ca="1">EfW!H12+"Ug1!Xw"</f>
        <v>#VALUE!</v>
      </c>
      <c r="DZ18" t="e">
        <f ca="1">EfW!J12+"Ug1!Xx"</f>
        <v>#VALUE!</v>
      </c>
      <c r="EA18" t="e">
        <f ca="1">EfW!K12+"Ug1!Xy"</f>
        <v>#VALUE!</v>
      </c>
      <c r="EB18" t="e">
        <f ca="1">EfW!L12+"Ug1!Xz"</f>
        <v>#VALUE!</v>
      </c>
      <c r="EC18" t="e">
        <f ca="1">EfW!M12+"Ug1!X{"</f>
        <v>#VALUE!</v>
      </c>
      <c r="ED18" t="e">
        <f ca="1">EfW!N12+"Ug1!X|"</f>
        <v>#VALUE!</v>
      </c>
      <c r="EE18" t="e">
        <f ca="1">EfW!O12+"Ug1!X}"</f>
        <v>#VALUE!</v>
      </c>
      <c r="EF18" t="e">
        <f ca="1">EfW!P12+"Ug1!X~"</f>
        <v>#VALUE!</v>
      </c>
      <c r="EG18" t="e">
        <f ca="1">EfW!Q12+"Ug1!Y#"</f>
        <v>#VALUE!</v>
      </c>
      <c r="EH18" t="e">
        <f ca="1">EfW!R12+"Ug1!Y$"</f>
        <v>#VALUE!</v>
      </c>
      <c r="EI18" t="e">
        <f ca="1">EfW!S12+"Ug1!Y%"</f>
        <v>#VALUE!</v>
      </c>
      <c r="EJ18" t="e">
        <f ca="1">EfW!T12+"Ug1!Y&amp;"</f>
        <v>#VALUE!</v>
      </c>
      <c r="EK18" t="e">
        <f ca="1">EfW!U12+"Ug1!Y'"</f>
        <v>#VALUE!</v>
      </c>
      <c r="EL18" t="e">
        <f ca="1">EfW!V12+"Ug1!Y("</f>
        <v>#VALUE!</v>
      </c>
      <c r="EM18" t="e">
        <f ca="1">EfW!W12+"Ug1!Y)"</f>
        <v>#VALUE!</v>
      </c>
      <c r="EN18" t="e">
        <f ca="1">EfW!X12+"Ug1!Y."</f>
        <v>#VALUE!</v>
      </c>
      <c r="EO18" t="e">
        <f ca="1">EfW!Y12+"Ug1!Y/"</f>
        <v>#VALUE!</v>
      </c>
      <c r="EP18" t="e">
        <f ca="1">EfW!Z12+"Ug1!Y0"</f>
        <v>#VALUE!</v>
      </c>
      <c r="EQ18" t="e">
        <f ca="1">EfW!AA12+"Ug1!Y1"</f>
        <v>#VALUE!</v>
      </c>
      <c r="ER18" t="e">
        <f ca="1">EfW!AB12+"Ug1!Y2"</f>
        <v>#VALUE!</v>
      </c>
      <c r="ES18" t="e">
        <f ca="1">EfW!AC12+"Ug1!Y3"</f>
        <v>#VALUE!</v>
      </c>
      <c r="ET18" t="e">
        <f ca="1">EfW!AD12+"Ug1!Y4"</f>
        <v>#VALUE!</v>
      </c>
      <c r="EU18" t="e">
        <f ca="1">EfW!AE12+"Ug1!Y5"</f>
        <v>#VALUE!</v>
      </c>
      <c r="EV18" t="e">
        <f ca="1">EfW!AF12+"Ug1!Y6"</f>
        <v>#VALUE!</v>
      </c>
      <c r="EW18" t="e">
        <f ca="1">EfW!AG12+"Ug1!Y7"</f>
        <v>#VALUE!</v>
      </c>
      <c r="EX18" t="e">
        <f ca="1">EfW!AH12+"Ug1!Y8"</f>
        <v>#VALUE!</v>
      </c>
      <c r="EY18" t="e">
        <f ca="1">EfW!AI12+"Ug1!Y9"</f>
        <v>#VALUE!</v>
      </c>
      <c r="EZ18" t="e">
        <f ca="1">EfW!AJ12+"Ug1!Y:"</f>
        <v>#VALUE!</v>
      </c>
      <c r="FA18" t="e">
        <f ca="1">EfW!AK12+"Ug1!Y;"</f>
        <v>#VALUE!</v>
      </c>
      <c r="FB18" t="e">
        <f ca="1">EfW!AL12+"Ug1!Y&lt;"</f>
        <v>#VALUE!</v>
      </c>
      <c r="FC18" t="e">
        <f ca="1">EfW!AM12+"Ug1!Y="</f>
        <v>#VALUE!</v>
      </c>
      <c r="FD18" t="e">
        <f ca="1">EfW!AN12+"Ug1!Y&gt;"</f>
        <v>#VALUE!</v>
      </c>
      <c r="FE18" t="e">
        <f ca="1">EfW!AO12+"Ug1!Y?"</f>
        <v>#VALUE!</v>
      </c>
      <c r="FF18" t="e">
        <f ca="1">EfW!AP12+"Ug1!Y@"</f>
        <v>#VALUE!</v>
      </c>
      <c r="FG18" t="e">
        <f ca="1">EfW!AQ12+"Ug1!YA"</f>
        <v>#VALUE!</v>
      </c>
      <c r="FH18" t="e">
        <f ca="1">EfW!AR12+"Ug1!YB"</f>
        <v>#VALUE!</v>
      </c>
      <c r="FI18" t="e">
        <f ca="1">EfW!AS12+"Ug1!YC"</f>
        <v>#VALUE!</v>
      </c>
      <c r="FJ18" t="e">
        <f ca="1">EfW!AT12+"Ug1!YD"</f>
        <v>#VALUE!</v>
      </c>
      <c r="FK18" t="e">
        <f ca="1">EfW!AU12+"Ug1!YE"</f>
        <v>#VALUE!</v>
      </c>
      <c r="FL18" t="e">
        <f ca="1">EfW!AV12+"Ug1!YF"</f>
        <v>#VALUE!</v>
      </c>
      <c r="FM18" t="e">
        <f ca="1">EfW!AW12+"Ug1!YG"</f>
        <v>#VALUE!</v>
      </c>
      <c r="FN18" t="e">
        <f ca="1">EfW!AX12+"Ug1!YH"</f>
        <v>#VALUE!</v>
      </c>
      <c r="FO18" t="e">
        <f ca="1">EfW!AY12+"Ug1!YI"</f>
        <v>#VALUE!</v>
      </c>
      <c r="FP18" t="e">
        <f ca="1">EfW!AZ12+"Ug1!YJ"</f>
        <v>#VALUE!</v>
      </c>
      <c r="FQ18" t="e">
        <f ca="1">EfW!BA12+"Ug1!YK"</f>
        <v>#VALUE!</v>
      </c>
      <c r="FR18" t="e">
        <f ca="1">EfW!BB12+"Ug1!YL"</f>
        <v>#VALUE!</v>
      </c>
      <c r="FS18" t="e">
        <f ca="1">EfW!BC12+"Ug1!YM"</f>
        <v>#VALUE!</v>
      </c>
      <c r="FT18" t="e">
        <f ca="1">EfW!BD12+"Ug1!YN"</f>
        <v>#VALUE!</v>
      </c>
      <c r="FU18" t="e">
        <f ca="1">EfW!BE12+"Ug1!YO"</f>
        <v>#VALUE!</v>
      </c>
      <c r="FV18" t="e">
        <f ca="1">EfW!BF12+"Ug1!YP"</f>
        <v>#VALUE!</v>
      </c>
      <c r="FW18" t="e">
        <f ca="1">EfW!BG12+"Ug1!YQ"</f>
        <v>#VALUE!</v>
      </c>
      <c r="FX18" t="e">
        <f ca="1">EfW!BH12+"Ug1!YR"</f>
        <v>#VALUE!</v>
      </c>
      <c r="FY18" t="e">
        <f ca="1">EfW!BI12+"Ug1!YS"</f>
        <v>#VALUE!</v>
      </c>
      <c r="FZ18" t="e">
        <f ca="1">EfW!BJ12+"Ug1!YT"</f>
        <v>#VALUE!</v>
      </c>
      <c r="GA18" t="e">
        <f ca="1">EfW!BK12+"Ug1!YU"</f>
        <v>#VALUE!</v>
      </c>
      <c r="GB18" t="e">
        <f ca="1">EfW!BL12+"Ug1!YV"</f>
        <v>#VALUE!</v>
      </c>
      <c r="GC18" t="e">
        <f ca="1">EfW!BM12+"Ug1!YW"</f>
        <v>#VALUE!</v>
      </c>
      <c r="GD18" t="e">
        <f ca="1">EfW!BN12+"Ug1!YX"</f>
        <v>#VALUE!</v>
      </c>
      <c r="GE18" t="e">
        <f ca="1">EfW!BO12+"Ug1!YY"</f>
        <v>#VALUE!</v>
      </c>
      <c r="GF18" t="e">
        <f ca="1">EfW!BP12+"Ug1!YZ"</f>
        <v>#VALUE!</v>
      </c>
      <c r="GG18" t="e">
        <f ca="1">EfW!BQ12+"Ug1!Y["</f>
        <v>#VALUE!</v>
      </c>
      <c r="GH18" t="e">
        <f ca="1">EfW!BR12+"Ug1!Y\"</f>
        <v>#VALUE!</v>
      </c>
      <c r="GI18" t="e">
        <f ca="1">EfW!BS12+"Ug1!Y]"</f>
        <v>#VALUE!</v>
      </c>
      <c r="GJ18" t="e">
        <f ca="1">EfW!BT12+"Ug1!Y^"</f>
        <v>#VALUE!</v>
      </c>
      <c r="GK18" t="e">
        <f ca="1">EfW!BU12+"Ug1!Y_"</f>
        <v>#VALUE!</v>
      </c>
      <c r="GL18" t="e">
        <f ca="1">EfW!BV12+"Ug1!Y`"</f>
        <v>#VALUE!</v>
      </c>
      <c r="GM18" t="e">
        <f ca="1">EfW!BW12+"Ug1!Ya"</f>
        <v>#VALUE!</v>
      </c>
      <c r="GN18" t="e">
        <f ca="1">EfW!BX12+"Ug1!Yb"</f>
        <v>#VALUE!</v>
      </c>
      <c r="GO18" t="e">
        <f ca="1">EfW!BY12+"Ug1!Yc"</f>
        <v>#VALUE!</v>
      </c>
      <c r="GP18" t="e">
        <f ca="1">EfW!E14+"Ug1!Yd"</f>
        <v>#VALUE!</v>
      </c>
      <c r="GQ18" t="e">
        <f ca="1">EfW!F14+"Ug1!Ye"</f>
        <v>#VALUE!</v>
      </c>
      <c r="GR18" t="e">
        <f ca="1">EfW!G14+"Ug1!Yf"</f>
        <v>#VALUE!</v>
      </c>
      <c r="GS18" t="e">
        <f ca="1">EfW!E15+"Ug1!Yg"</f>
        <v>#VALUE!</v>
      </c>
      <c r="GT18" t="e">
        <f ca="1">EfW!F15+"Ug1!Yh"</f>
        <v>#VALUE!</v>
      </c>
      <c r="GU18" t="e">
        <f ca="1">EfW!G15+"Ug1!Yi"</f>
        <v>#VALUE!</v>
      </c>
      <c r="GV18" t="e">
        <f ca="1">EfW!H15+"Ug1!Yj"</f>
        <v>#VALUE!</v>
      </c>
      <c r="GW18" t="e">
        <f ca="1">EfW!I15+"Ug1!Yk"</f>
        <v>#VALUE!</v>
      </c>
      <c r="GX18" t="e">
        <f ca="1">EfW!J15+"Ug1!Yl"</f>
        <v>#VALUE!</v>
      </c>
      <c r="GY18" t="e">
        <f ca="1">EfW!K15+"Ug1!Ym"</f>
        <v>#VALUE!</v>
      </c>
      <c r="GZ18" t="e">
        <f ca="1">EfW!L15+"Ug1!Yn"</f>
        <v>#VALUE!</v>
      </c>
      <c r="HA18" t="e">
        <f ca="1">EfW!M15+"Ug1!Yo"</f>
        <v>#VALUE!</v>
      </c>
      <c r="HB18" t="e">
        <f ca="1">EfW!N15+"Ug1!Yp"</f>
        <v>#VALUE!</v>
      </c>
      <c r="HC18" t="e">
        <f ca="1">EfW!O15+"Ug1!Yq"</f>
        <v>#VALUE!</v>
      </c>
      <c r="HD18" t="e">
        <f ca="1">EfW!P15+"Ug1!Yr"</f>
        <v>#VALUE!</v>
      </c>
      <c r="HE18" t="e">
        <f ca="1">EfW!Q15+"Ug1!Ys"</f>
        <v>#VALUE!</v>
      </c>
      <c r="HF18" t="e">
        <f ca="1">EfW!R15+"Ug1!Yt"</f>
        <v>#VALUE!</v>
      </c>
      <c r="HG18" t="e">
        <f ca="1">EfW!S15+"Ug1!Yu"</f>
        <v>#VALUE!</v>
      </c>
      <c r="HH18" t="e">
        <f ca="1">EfW!T15+"Ug1!Yv"</f>
        <v>#VALUE!</v>
      </c>
      <c r="HI18" t="e">
        <f ca="1">EfW!U15+"Ug1!Yw"</f>
        <v>#VALUE!</v>
      </c>
      <c r="HJ18" t="e">
        <f ca="1">EfW!V15+"Ug1!Yx"</f>
        <v>#VALUE!</v>
      </c>
      <c r="HK18" t="e">
        <f ca="1">EfW!W15+"Ug1!Yy"</f>
        <v>#VALUE!</v>
      </c>
      <c r="HL18" t="e">
        <f ca="1">EfW!X15+"Ug1!Yz"</f>
        <v>#VALUE!</v>
      </c>
      <c r="HM18" t="e">
        <f ca="1">EfW!Y15+"Ug1!Y{"</f>
        <v>#VALUE!</v>
      </c>
      <c r="HN18" t="e">
        <f ca="1">EfW!Z15+"Ug1!Y|"</f>
        <v>#VALUE!</v>
      </c>
      <c r="HO18" t="e">
        <f ca="1">EfW!AA15+"Ug1!Y}"</f>
        <v>#VALUE!</v>
      </c>
      <c r="HP18" t="e">
        <f ca="1">EfW!AB15+"Ug1!Y~"</f>
        <v>#VALUE!</v>
      </c>
      <c r="HQ18" t="e">
        <f ca="1">EfW!AC15+"Ug1!Z#"</f>
        <v>#VALUE!</v>
      </c>
      <c r="HR18" t="e">
        <f ca="1">EfW!AD15+"Ug1!Z$"</f>
        <v>#VALUE!</v>
      </c>
      <c r="HS18" t="e">
        <f ca="1">EfW!AE15+"Ug1!Z%"</f>
        <v>#VALUE!</v>
      </c>
      <c r="HT18" t="e">
        <f ca="1">EfW!AF15+"Ug1!Z&amp;"</f>
        <v>#VALUE!</v>
      </c>
      <c r="HU18" t="e">
        <f ca="1">EfW!AG15+"Ug1!Z'"</f>
        <v>#VALUE!</v>
      </c>
      <c r="HV18" t="e">
        <f ca="1">EfW!AH15+"Ug1!Z("</f>
        <v>#VALUE!</v>
      </c>
      <c r="HW18" t="e">
        <f ca="1">EfW!AI15+"Ug1!Z)"</f>
        <v>#VALUE!</v>
      </c>
      <c r="HX18" t="e">
        <f ca="1">EfW!AJ15+"Ug1!Z."</f>
        <v>#VALUE!</v>
      </c>
      <c r="HY18" t="e">
        <f ca="1">EfW!AK15+"Ug1!Z/"</f>
        <v>#VALUE!</v>
      </c>
      <c r="HZ18" t="e">
        <f ca="1">EfW!AL15+"Ug1!Z0"</f>
        <v>#VALUE!</v>
      </c>
      <c r="IA18" t="e">
        <f ca="1">EfW!AM15+"Ug1!Z1"</f>
        <v>#VALUE!</v>
      </c>
      <c r="IB18" t="e">
        <f ca="1">EfW!AN15+"Ug1!Z2"</f>
        <v>#VALUE!</v>
      </c>
      <c r="IC18" t="e">
        <f ca="1">EfW!AO15+"Ug1!Z3"</f>
        <v>#VALUE!</v>
      </c>
      <c r="ID18" t="e">
        <f ca="1">EfW!AP15+"Ug1!Z4"</f>
        <v>#VALUE!</v>
      </c>
      <c r="IE18" t="e">
        <f ca="1">EfW!AQ15+"Ug1!Z5"</f>
        <v>#VALUE!</v>
      </c>
      <c r="IF18" t="e">
        <f ca="1">EfW!AR15+"Ug1!Z6"</f>
        <v>#VALUE!</v>
      </c>
      <c r="IG18" t="e">
        <f ca="1">EfW!AS15+"Ug1!Z7"</f>
        <v>#VALUE!</v>
      </c>
      <c r="IH18" t="e">
        <f ca="1">EfW!AT15+"Ug1!Z8"</f>
        <v>#VALUE!</v>
      </c>
      <c r="II18" t="e">
        <f ca="1">EfW!AU15+"Ug1!Z9"</f>
        <v>#VALUE!</v>
      </c>
      <c r="IJ18" t="e">
        <f ca="1">EfW!AV15+"Ug1!Z:"</f>
        <v>#VALUE!</v>
      </c>
      <c r="IK18" t="e">
        <f ca="1">EfW!AW15+"Ug1!Z;"</f>
        <v>#VALUE!</v>
      </c>
      <c r="IL18" t="e">
        <f ca="1">EfW!AX15+"Ug1!Z&lt;"</f>
        <v>#VALUE!</v>
      </c>
      <c r="IM18" t="e">
        <f ca="1">EfW!AY15+"Ug1!Z="</f>
        <v>#VALUE!</v>
      </c>
      <c r="IN18" t="e">
        <f ca="1">EfW!AZ15+"Ug1!Z&gt;"</f>
        <v>#VALUE!</v>
      </c>
      <c r="IO18" t="e">
        <f ca="1">EfW!BA15+"Ug1!Z?"</f>
        <v>#VALUE!</v>
      </c>
      <c r="IP18" t="e">
        <f ca="1">EfW!BB15+"Ug1!Z@"</f>
        <v>#VALUE!</v>
      </c>
      <c r="IQ18" t="e">
        <f ca="1">EfW!BC15+"Ug1!ZA"</f>
        <v>#VALUE!</v>
      </c>
      <c r="IR18" t="e">
        <f ca="1">EfW!BD15+"Ug1!ZB"</f>
        <v>#VALUE!</v>
      </c>
      <c r="IS18" t="e">
        <f ca="1">EfW!BE15+"Ug1!ZC"</f>
        <v>#VALUE!</v>
      </c>
      <c r="IT18" t="e">
        <f ca="1">EfW!BF15+"Ug1!ZD"</f>
        <v>#VALUE!</v>
      </c>
      <c r="IU18" t="e">
        <f ca="1">EfW!BG15+"Ug1!ZE"</f>
        <v>#VALUE!</v>
      </c>
      <c r="IV18" t="e">
        <f ca="1">EfW!BH15+"Ug1!ZF"</f>
        <v>#VALUE!</v>
      </c>
    </row>
    <row r="19" spans="6:256" x14ac:dyDescent="0.2">
      <c r="F19" t="e">
        <f ca="1">EfW!BI15+"Ug1!ZG"</f>
        <v>#VALUE!</v>
      </c>
      <c r="G19" t="e">
        <f ca="1">EfW!BJ15+"Ug1!ZH"</f>
        <v>#VALUE!</v>
      </c>
      <c r="H19" t="e">
        <f ca="1">EfW!BK15+"Ug1!ZI"</f>
        <v>#VALUE!</v>
      </c>
      <c r="I19" t="e">
        <f ca="1">EfW!BL15+"Ug1!ZJ"</f>
        <v>#VALUE!</v>
      </c>
      <c r="J19" t="e">
        <f ca="1">EfW!BM15+"Ug1!ZK"</f>
        <v>#VALUE!</v>
      </c>
      <c r="K19" t="e">
        <f ca="1">EfW!BN15+"Ug1!ZL"</f>
        <v>#VALUE!</v>
      </c>
      <c r="L19" t="e">
        <f ca="1">EfW!BO15+"Ug1!ZM"</f>
        <v>#VALUE!</v>
      </c>
      <c r="M19" t="e">
        <f ca="1">EfW!BP15+"Ug1!ZN"</f>
        <v>#VALUE!</v>
      </c>
      <c r="N19" t="e">
        <f ca="1">EfW!BQ15+"Ug1!ZO"</f>
        <v>#VALUE!</v>
      </c>
      <c r="O19" t="e">
        <f ca="1">EfW!BR15+"Ug1!ZP"</f>
        <v>#VALUE!</v>
      </c>
      <c r="P19" t="e">
        <f ca="1">EfW!BS15+"Ug1!ZQ"</f>
        <v>#VALUE!</v>
      </c>
      <c r="Q19" t="e">
        <f ca="1">EfW!BT15+"Ug1!ZR"</f>
        <v>#VALUE!</v>
      </c>
      <c r="R19" t="e">
        <f ca="1">EfW!BU15+"Ug1!ZS"</f>
        <v>#VALUE!</v>
      </c>
      <c r="S19" t="e">
        <f ca="1">EfW!BV15+"Ug1!ZT"</f>
        <v>#VALUE!</v>
      </c>
      <c r="T19" t="e">
        <f ca="1">EfW!BW15+"Ug1!ZU"</f>
        <v>#VALUE!</v>
      </c>
      <c r="U19" t="e">
        <f ca="1">EfW!BX15+"Ug1!ZV"</f>
        <v>#VALUE!</v>
      </c>
      <c r="V19" t="e">
        <f ca="1">EfW!BY15+"Ug1!ZW"</f>
        <v>#VALUE!</v>
      </c>
      <c r="W19" t="e">
        <f ca="1">EfW!E16+"Ug1!ZX"</f>
        <v>#VALUE!</v>
      </c>
      <c r="X19" t="e">
        <f ca="1">EfW!G16+"Ug1!ZY"</f>
        <v>#VALUE!</v>
      </c>
      <c r="Y19" t="e">
        <f ca="1">EfW!H16+"Ug1!ZZ"</f>
        <v>#VALUE!</v>
      </c>
      <c r="Z19" t="e">
        <f ca="1">EfW!J16+"Ug1!Z["</f>
        <v>#VALUE!</v>
      </c>
      <c r="AA19" t="e">
        <f ca="1">EfW!K16+"Ug1!Z\"</f>
        <v>#VALUE!</v>
      </c>
      <c r="AB19" t="e">
        <f ca="1">EfW!L16+"Ug1!Z]"</f>
        <v>#VALUE!</v>
      </c>
      <c r="AC19" t="e">
        <f ca="1">EfW!M16+"Ug1!Z^"</f>
        <v>#VALUE!</v>
      </c>
      <c r="AD19" t="e">
        <f ca="1">EfW!N16+"Ug1!Z_"</f>
        <v>#VALUE!</v>
      </c>
      <c r="AE19" t="e">
        <f ca="1">EfW!O16+"Ug1!Z`"</f>
        <v>#VALUE!</v>
      </c>
      <c r="AF19" t="e">
        <f ca="1">EfW!P16+"Ug1!Za"</f>
        <v>#VALUE!</v>
      </c>
      <c r="AG19" t="e">
        <f ca="1">EfW!Q16+"Ug1!Zb"</f>
        <v>#VALUE!</v>
      </c>
      <c r="AH19" t="e">
        <f ca="1">EfW!R16+"Ug1!Zc"</f>
        <v>#VALUE!</v>
      </c>
      <c r="AI19" t="e">
        <f ca="1">EfW!S16+"Ug1!Zd"</f>
        <v>#VALUE!</v>
      </c>
      <c r="AJ19" t="e">
        <f ca="1">EfW!T16+"Ug1!Ze"</f>
        <v>#VALUE!</v>
      </c>
      <c r="AK19" t="e">
        <f ca="1">EfW!U16+"Ug1!Zf"</f>
        <v>#VALUE!</v>
      </c>
      <c r="AL19" t="e">
        <f ca="1">EfW!V16+"Ug1!Zg"</f>
        <v>#VALUE!</v>
      </c>
      <c r="AM19" t="e">
        <f ca="1">EfW!W16+"Ug1!Zh"</f>
        <v>#VALUE!</v>
      </c>
      <c r="AN19" t="e">
        <f ca="1">EfW!X16+"Ug1!Zi"</f>
        <v>#VALUE!</v>
      </c>
      <c r="AO19" t="e">
        <f ca="1">EfW!Y16+"Ug1!Zj"</f>
        <v>#VALUE!</v>
      </c>
      <c r="AP19" t="e">
        <f ca="1">EfW!Z16+"Ug1!Zk"</f>
        <v>#VALUE!</v>
      </c>
      <c r="AQ19" t="e">
        <f ca="1">EfW!AA16+"Ug1!Zl"</f>
        <v>#VALUE!</v>
      </c>
      <c r="AR19" t="e">
        <f ca="1">EfW!AB16+"Ug1!Zm"</f>
        <v>#VALUE!</v>
      </c>
      <c r="AS19" t="e">
        <f ca="1">EfW!AC16+"Ug1!Zn"</f>
        <v>#VALUE!</v>
      </c>
      <c r="AT19" t="e">
        <f ca="1">EfW!AD16+"Ug1!Zo"</f>
        <v>#VALUE!</v>
      </c>
      <c r="AU19" t="e">
        <f ca="1">EfW!AE16+"Ug1!Zp"</f>
        <v>#VALUE!</v>
      </c>
      <c r="AV19" t="e">
        <f ca="1">EfW!AF16+"Ug1!Zq"</f>
        <v>#VALUE!</v>
      </c>
      <c r="AW19" t="e">
        <f ca="1">EfW!AG16+"Ug1!Zr"</f>
        <v>#VALUE!</v>
      </c>
      <c r="AX19" t="e">
        <f ca="1">EfW!AH16+"Ug1!Zs"</f>
        <v>#VALUE!</v>
      </c>
      <c r="AY19" t="e">
        <f ca="1">EfW!AI16+"Ug1!Zt"</f>
        <v>#VALUE!</v>
      </c>
      <c r="AZ19" t="e">
        <f ca="1">EfW!AJ16+"Ug1!Zu"</f>
        <v>#VALUE!</v>
      </c>
      <c r="BA19" t="e">
        <f ca="1">EfW!AK16+"Ug1!Zv"</f>
        <v>#VALUE!</v>
      </c>
      <c r="BB19" t="e">
        <f ca="1">EfW!AL16+"Ug1!Zw"</f>
        <v>#VALUE!</v>
      </c>
      <c r="BC19" t="e">
        <f ca="1">EfW!AM16+"Ug1!Zx"</f>
        <v>#VALUE!</v>
      </c>
      <c r="BD19" t="e">
        <f ca="1">EfW!AN16+"Ug1!Zy"</f>
        <v>#VALUE!</v>
      </c>
      <c r="BE19" t="e">
        <f ca="1">EfW!AO16+"Ug1!Zz"</f>
        <v>#VALUE!</v>
      </c>
      <c r="BF19" t="e">
        <f ca="1">EfW!AP16+"Ug1!Z{"</f>
        <v>#VALUE!</v>
      </c>
      <c r="BG19" t="e">
        <f ca="1">EfW!AQ16+"Ug1!Z|"</f>
        <v>#VALUE!</v>
      </c>
      <c r="BH19" t="e">
        <f ca="1">EfW!AR16+"Ug1!Z}"</f>
        <v>#VALUE!</v>
      </c>
      <c r="BI19" t="e">
        <f ca="1">EfW!AS16+"Ug1!Z~"</f>
        <v>#VALUE!</v>
      </c>
      <c r="BJ19" t="e">
        <f ca="1">EfW!AT16+"Ug1![#"</f>
        <v>#VALUE!</v>
      </c>
      <c r="BK19" t="e">
        <f ca="1">EfW!AU16+"Ug1![$"</f>
        <v>#VALUE!</v>
      </c>
      <c r="BL19" t="e">
        <f ca="1">EfW!AV16+"Ug1![%"</f>
        <v>#VALUE!</v>
      </c>
      <c r="BM19" t="e">
        <f ca="1">EfW!AW16+"Ug1![&amp;"</f>
        <v>#VALUE!</v>
      </c>
      <c r="BN19" t="e">
        <f ca="1">EfW!AX16+"Ug1!['"</f>
        <v>#VALUE!</v>
      </c>
      <c r="BO19" t="e">
        <f ca="1">EfW!AY16+"Ug1![("</f>
        <v>#VALUE!</v>
      </c>
      <c r="BP19" t="e">
        <f ca="1">EfW!AZ16+"Ug1![)"</f>
        <v>#VALUE!</v>
      </c>
      <c r="BQ19" t="e">
        <f ca="1">EfW!BA16+"Ug1![."</f>
        <v>#VALUE!</v>
      </c>
      <c r="BR19" t="e">
        <f ca="1">EfW!BB16+"Ug1![/"</f>
        <v>#VALUE!</v>
      </c>
      <c r="BS19" t="e">
        <f ca="1">EfW!BC16+"Ug1![0"</f>
        <v>#VALUE!</v>
      </c>
      <c r="BT19" t="e">
        <f ca="1">EfW!BD16+"Ug1![1"</f>
        <v>#VALUE!</v>
      </c>
      <c r="BU19" t="e">
        <f ca="1">EfW!BE16+"Ug1![2"</f>
        <v>#VALUE!</v>
      </c>
      <c r="BV19" t="e">
        <f ca="1">EfW!BF16+"Ug1![3"</f>
        <v>#VALUE!</v>
      </c>
      <c r="BW19" t="e">
        <f ca="1">EfW!BG16+"Ug1![4"</f>
        <v>#VALUE!</v>
      </c>
      <c r="BX19" t="e">
        <f ca="1">EfW!BH16+"Ug1![5"</f>
        <v>#VALUE!</v>
      </c>
      <c r="BY19" t="e">
        <f ca="1">EfW!BI16+"Ug1![6"</f>
        <v>#VALUE!</v>
      </c>
      <c r="BZ19" t="e">
        <f ca="1">EfW!BJ16+"Ug1![7"</f>
        <v>#VALUE!</v>
      </c>
      <c r="CA19" t="e">
        <f ca="1">EfW!BK16+"Ug1![8"</f>
        <v>#VALUE!</v>
      </c>
      <c r="CB19" t="e">
        <f ca="1">EfW!BL16+"Ug1![9"</f>
        <v>#VALUE!</v>
      </c>
      <c r="CC19" t="e">
        <f ca="1">EfW!BM16+"Ug1![:"</f>
        <v>#VALUE!</v>
      </c>
      <c r="CD19" t="e">
        <f ca="1">EfW!BN16+"Ug1![;"</f>
        <v>#VALUE!</v>
      </c>
      <c r="CE19" t="e">
        <f ca="1">EfW!BO16+"Ug1![&lt;"</f>
        <v>#VALUE!</v>
      </c>
      <c r="CF19" t="e">
        <f ca="1">EfW!BP16+"Ug1![="</f>
        <v>#VALUE!</v>
      </c>
      <c r="CG19" t="e">
        <f ca="1">EfW!BQ16+"Ug1![&gt;"</f>
        <v>#VALUE!</v>
      </c>
      <c r="CH19" t="e">
        <f ca="1">EfW!BR16+"Ug1![?"</f>
        <v>#VALUE!</v>
      </c>
      <c r="CI19" t="e">
        <f ca="1">EfW!BS16+"Ug1![@"</f>
        <v>#VALUE!</v>
      </c>
      <c r="CJ19" t="e">
        <f ca="1">EfW!BT16+"Ug1![A"</f>
        <v>#VALUE!</v>
      </c>
      <c r="CK19" t="e">
        <f ca="1">EfW!BU16+"Ug1![B"</f>
        <v>#VALUE!</v>
      </c>
      <c r="CL19" t="e">
        <f ca="1">EfW!BV16+"Ug1![C"</f>
        <v>#VALUE!</v>
      </c>
      <c r="CM19" t="e">
        <f ca="1">EfW!BW16+"Ug1![D"</f>
        <v>#VALUE!</v>
      </c>
      <c r="CN19" t="e">
        <f ca="1">EfW!BX16+"Ug1![E"</f>
        <v>#VALUE!</v>
      </c>
      <c r="CO19" t="e">
        <f ca="1">EfW!BY16+"Ug1![F"</f>
        <v>#VALUE!</v>
      </c>
      <c r="CP19" t="e">
        <f ca="1">EfW!B18+"Ug1![G"</f>
        <v>#VALUE!</v>
      </c>
      <c r="CQ19" t="e">
        <f ca="1">EfW!E19+"Ug1![H"</f>
        <v>#VALUE!</v>
      </c>
      <c r="CR19" t="e">
        <f ca="1">EfW!F19+"Ug1![I"</f>
        <v>#VALUE!</v>
      </c>
      <c r="CS19" t="e">
        <f ca="1">EfW!G19+"Ug1![J"</f>
        <v>#VALUE!</v>
      </c>
      <c r="CT19" t="e">
        <f ca="1">EfW!A20+"Ug1![K"</f>
        <v>#VALUE!</v>
      </c>
      <c r="CU19" t="e">
        <f ca="1">EfW!B20+"Ug1![L"</f>
        <v>#VALUE!</v>
      </c>
      <c r="CV19" t="e">
        <f ca="1">EfW!C20+"Ug1![M"</f>
        <v>#VALUE!</v>
      </c>
      <c r="CW19" t="e">
        <f ca="1">EfW!D20+"Ug1![N"</f>
        <v>#VALUE!</v>
      </c>
      <c r="CX19" t="e">
        <f ca="1">EfW!E20+"Ug1![O"</f>
        <v>#VALUE!</v>
      </c>
      <c r="CY19" t="e">
        <f ca="1">EfW!F20+"Ug1![P"</f>
        <v>#VALUE!</v>
      </c>
      <c r="CZ19" t="e">
        <f ca="1">EfW!G20+"Ug1![Q"</f>
        <v>#VALUE!</v>
      </c>
      <c r="DA19" t="e">
        <f ca="1">EfW!H20+"Ug1![R"</f>
        <v>#VALUE!</v>
      </c>
      <c r="DB19" t="e">
        <f ca="1">EfW!I20+"Ug1![S"</f>
        <v>#VALUE!</v>
      </c>
      <c r="DC19" t="e">
        <f ca="1">EfW!J20+"Ug1![T"</f>
        <v>#VALUE!</v>
      </c>
      <c r="DD19" t="e">
        <f ca="1">EfW!K20+"Ug1![U"</f>
        <v>#VALUE!</v>
      </c>
      <c r="DE19" t="e">
        <f ca="1">EfW!L20+"Ug1![V"</f>
        <v>#VALUE!</v>
      </c>
      <c r="DF19" t="e">
        <f ca="1">EfW!M20+"Ug1![W"</f>
        <v>#VALUE!</v>
      </c>
      <c r="DG19" t="e">
        <f ca="1">EfW!N20+"Ug1![X"</f>
        <v>#VALUE!</v>
      </c>
      <c r="DH19" t="e">
        <f ca="1">EfW!O20+"Ug1![Y"</f>
        <v>#VALUE!</v>
      </c>
      <c r="DI19" t="e">
        <f ca="1">EfW!P20+"Ug1![Z"</f>
        <v>#VALUE!</v>
      </c>
      <c r="DJ19" t="e">
        <f ca="1">EfW!Q20+"Ug1![["</f>
        <v>#VALUE!</v>
      </c>
      <c r="DK19" t="e">
        <f ca="1">EfW!R20+"Ug1![\"</f>
        <v>#VALUE!</v>
      </c>
      <c r="DL19" t="e">
        <f ca="1">EfW!S20+"Ug1![]"</f>
        <v>#VALUE!</v>
      </c>
      <c r="DM19" t="e">
        <f ca="1">EfW!T20+"Ug1![^"</f>
        <v>#VALUE!</v>
      </c>
      <c r="DN19" t="e">
        <f ca="1">EfW!U20+"Ug1![_"</f>
        <v>#VALUE!</v>
      </c>
      <c r="DO19" t="e">
        <f ca="1">EfW!V20+"Ug1![`"</f>
        <v>#VALUE!</v>
      </c>
      <c r="DP19" t="e">
        <f ca="1">EfW!W20+"Ug1![a"</f>
        <v>#VALUE!</v>
      </c>
      <c r="DQ19" t="e">
        <f ca="1">EfW!X20+"Ug1![b"</f>
        <v>#VALUE!</v>
      </c>
      <c r="DR19" t="e">
        <f ca="1">EfW!Y20+"Ug1![c"</f>
        <v>#VALUE!</v>
      </c>
      <c r="DS19" t="e">
        <f ca="1">EfW!Z20+"Ug1![d"</f>
        <v>#VALUE!</v>
      </c>
      <c r="DT19" t="e">
        <f ca="1">EfW!AA20+"Ug1![e"</f>
        <v>#VALUE!</v>
      </c>
      <c r="DU19" t="e">
        <f ca="1">EfW!AB20+"Ug1![f"</f>
        <v>#VALUE!</v>
      </c>
      <c r="DV19" t="e">
        <f ca="1">EfW!AC20+"Ug1![g"</f>
        <v>#VALUE!</v>
      </c>
      <c r="DW19" t="e">
        <f ca="1">EfW!AD20+"Ug1![h"</f>
        <v>#VALUE!</v>
      </c>
      <c r="DX19" t="e">
        <f ca="1">EfW!AE20+"Ug1![i"</f>
        <v>#VALUE!</v>
      </c>
      <c r="DY19" t="e">
        <f ca="1">EfW!AF20+"Ug1![j"</f>
        <v>#VALUE!</v>
      </c>
      <c r="DZ19" t="e">
        <f ca="1">EfW!AG20+"Ug1![k"</f>
        <v>#VALUE!</v>
      </c>
      <c r="EA19" t="e">
        <f ca="1">EfW!AH20+"Ug1![l"</f>
        <v>#VALUE!</v>
      </c>
      <c r="EB19" t="e">
        <f ca="1">EfW!AI20+"Ug1![m"</f>
        <v>#VALUE!</v>
      </c>
      <c r="EC19" t="e">
        <f ca="1">EfW!AJ20+"Ug1![n"</f>
        <v>#VALUE!</v>
      </c>
      <c r="ED19" t="e">
        <f ca="1">EfW!AK20+"Ug1![o"</f>
        <v>#VALUE!</v>
      </c>
      <c r="EE19" t="e">
        <f ca="1">EfW!AL20+"Ug1![p"</f>
        <v>#VALUE!</v>
      </c>
      <c r="EF19" t="e">
        <f ca="1">EfW!AM20+"Ug1![q"</f>
        <v>#VALUE!</v>
      </c>
      <c r="EG19" t="e">
        <f ca="1">EfW!AN20+"Ug1![r"</f>
        <v>#VALUE!</v>
      </c>
      <c r="EH19" t="e">
        <f ca="1">EfW!AO20+"Ug1![s"</f>
        <v>#VALUE!</v>
      </c>
      <c r="EI19" t="e">
        <f ca="1">EfW!AP20+"Ug1![t"</f>
        <v>#VALUE!</v>
      </c>
      <c r="EJ19" t="e">
        <f ca="1">EfW!AQ20+"Ug1![u"</f>
        <v>#VALUE!</v>
      </c>
      <c r="EK19" t="e">
        <f ca="1">EfW!AR20+"Ug1![v"</f>
        <v>#VALUE!</v>
      </c>
      <c r="EL19" t="e">
        <f ca="1">EfW!AS20+"Ug1![w"</f>
        <v>#VALUE!</v>
      </c>
      <c r="EM19" t="e">
        <f ca="1">EfW!AT20+"Ug1![x"</f>
        <v>#VALUE!</v>
      </c>
      <c r="EN19" t="e">
        <f ca="1">EfW!AU20+"Ug1![y"</f>
        <v>#VALUE!</v>
      </c>
      <c r="EO19" t="e">
        <f ca="1">EfW!AV20+"Ug1![z"</f>
        <v>#VALUE!</v>
      </c>
      <c r="EP19" t="e">
        <f ca="1">EfW!AW20+"Ug1![{"</f>
        <v>#VALUE!</v>
      </c>
      <c r="EQ19" t="e">
        <f ca="1">EfW!AX20+"Ug1![|"</f>
        <v>#VALUE!</v>
      </c>
      <c r="ER19" t="e">
        <f ca="1">EfW!AY20+"Ug1![}"</f>
        <v>#VALUE!</v>
      </c>
      <c r="ES19" t="e">
        <f ca="1">EfW!AZ20+"Ug1![~"</f>
        <v>#VALUE!</v>
      </c>
      <c r="ET19" t="e">
        <f ca="1">EfW!BA20+"Ug1!\#"</f>
        <v>#VALUE!</v>
      </c>
      <c r="EU19" t="e">
        <f ca="1">EfW!BB20+"Ug1!\$"</f>
        <v>#VALUE!</v>
      </c>
      <c r="EV19" t="e">
        <f ca="1">EfW!BC20+"Ug1!\%"</f>
        <v>#VALUE!</v>
      </c>
      <c r="EW19" t="e">
        <f ca="1">EfW!BD20+"Ug1!\&amp;"</f>
        <v>#VALUE!</v>
      </c>
      <c r="EX19" t="e">
        <f ca="1">EfW!BE20+"Ug1!\'"</f>
        <v>#VALUE!</v>
      </c>
      <c r="EY19" t="e">
        <f ca="1">EfW!BF20+"Ug1!\("</f>
        <v>#VALUE!</v>
      </c>
      <c r="EZ19" t="e">
        <f ca="1">EfW!BG20+"Ug1!\)"</f>
        <v>#VALUE!</v>
      </c>
      <c r="FA19" t="e">
        <f ca="1">EfW!BH20+"Ug1!\."</f>
        <v>#VALUE!</v>
      </c>
      <c r="FB19" t="e">
        <f ca="1">EfW!BI20+"Ug1!\/"</f>
        <v>#VALUE!</v>
      </c>
      <c r="FC19" t="e">
        <f ca="1">EfW!BJ20+"Ug1!\0"</f>
        <v>#VALUE!</v>
      </c>
      <c r="FD19" t="e">
        <f ca="1">EfW!BK20+"Ug1!\1"</f>
        <v>#VALUE!</v>
      </c>
      <c r="FE19" t="e">
        <f ca="1">EfW!BL20+"Ug1!\2"</f>
        <v>#VALUE!</v>
      </c>
      <c r="FF19" t="e">
        <f ca="1">EfW!BM20+"Ug1!\3"</f>
        <v>#VALUE!</v>
      </c>
      <c r="FG19" t="e">
        <f ca="1">EfW!BN20+"Ug1!\4"</f>
        <v>#VALUE!</v>
      </c>
      <c r="FH19" t="e">
        <f ca="1">EfW!BO20+"Ug1!\5"</f>
        <v>#VALUE!</v>
      </c>
      <c r="FI19" t="e">
        <f ca="1">EfW!BP20+"Ug1!\6"</f>
        <v>#VALUE!</v>
      </c>
      <c r="FJ19" t="e">
        <f ca="1">EfW!BQ20+"Ug1!\7"</f>
        <v>#VALUE!</v>
      </c>
      <c r="FK19" t="e">
        <f ca="1">EfW!BR20+"Ug1!\8"</f>
        <v>#VALUE!</v>
      </c>
      <c r="FL19" t="e">
        <f ca="1">EfW!BS20+"Ug1!\9"</f>
        <v>#VALUE!</v>
      </c>
      <c r="FM19" t="e">
        <f ca="1">EfW!BT20+"Ug1!\:"</f>
        <v>#VALUE!</v>
      </c>
      <c r="FN19" t="e">
        <f ca="1">EfW!BU20+"Ug1!\;"</f>
        <v>#VALUE!</v>
      </c>
      <c r="FO19" t="e">
        <f ca="1">EfW!BV20+"Ug1!\&lt;"</f>
        <v>#VALUE!</v>
      </c>
      <c r="FP19" t="e">
        <f ca="1">EfW!BW20+"Ug1!\="</f>
        <v>#VALUE!</v>
      </c>
      <c r="FQ19" t="e">
        <f ca="1">EfW!BX20+"Ug1!\&gt;"</f>
        <v>#VALUE!</v>
      </c>
      <c r="FR19" t="e">
        <f ca="1">EfW!BY20+"Ug1!\?"</f>
        <v>#VALUE!</v>
      </c>
      <c r="FS19" t="e">
        <f ca="1">EfW!E21+"Ug1!\@"</f>
        <v>#VALUE!</v>
      </c>
      <c r="FT19" t="e">
        <f ca="1">EfW!G21+"Ug1!\A"</f>
        <v>#VALUE!</v>
      </c>
      <c r="FU19" t="e">
        <f ca="1">EfW!H21+"Ug1!\B"</f>
        <v>#VALUE!</v>
      </c>
      <c r="FV19" t="e">
        <f ca="1">EfW!J21+"Ug1!\C"</f>
        <v>#VALUE!</v>
      </c>
      <c r="FW19" t="e">
        <f ca="1">EfW!K21+"Ug1!\D"</f>
        <v>#VALUE!</v>
      </c>
      <c r="FX19" t="e">
        <f ca="1">EfW!L21+"Ug1!\E"</f>
        <v>#VALUE!</v>
      </c>
      <c r="FY19" t="e">
        <f ca="1">EfW!M21+"Ug1!\F"</f>
        <v>#VALUE!</v>
      </c>
      <c r="FZ19" t="e">
        <f ca="1">EfW!N21+"Ug1!\G"</f>
        <v>#VALUE!</v>
      </c>
      <c r="GA19" t="e">
        <f ca="1">EfW!O21+"Ug1!\H"</f>
        <v>#VALUE!</v>
      </c>
      <c r="GB19" t="e">
        <f ca="1">EfW!P21+"Ug1!\I"</f>
        <v>#VALUE!</v>
      </c>
      <c r="GC19" t="e">
        <f ca="1">EfW!Q21+"Ug1!\J"</f>
        <v>#VALUE!</v>
      </c>
      <c r="GD19" t="e">
        <f ca="1">EfW!R21+"Ug1!\K"</f>
        <v>#VALUE!</v>
      </c>
      <c r="GE19" t="e">
        <f ca="1">EfW!S21+"Ug1!\L"</f>
        <v>#VALUE!</v>
      </c>
      <c r="GF19" t="e">
        <f ca="1">EfW!T21+"Ug1!\M"</f>
        <v>#VALUE!</v>
      </c>
      <c r="GG19" t="e">
        <f ca="1">EfW!U21+"Ug1!\N"</f>
        <v>#VALUE!</v>
      </c>
      <c r="GH19" t="e">
        <f ca="1">EfW!V21+"Ug1!\O"</f>
        <v>#VALUE!</v>
      </c>
      <c r="GI19" t="e">
        <f ca="1">EfW!W21+"Ug1!\P"</f>
        <v>#VALUE!</v>
      </c>
      <c r="GJ19" t="e">
        <f ca="1">EfW!X21+"Ug1!\Q"</f>
        <v>#VALUE!</v>
      </c>
      <c r="GK19" t="e">
        <f ca="1">EfW!Y21+"Ug1!\R"</f>
        <v>#VALUE!</v>
      </c>
      <c r="GL19" t="e">
        <f ca="1">EfW!Z21+"Ug1!\S"</f>
        <v>#VALUE!</v>
      </c>
      <c r="GM19" t="e">
        <f ca="1">EfW!AA21+"Ug1!\T"</f>
        <v>#VALUE!</v>
      </c>
      <c r="GN19" t="e">
        <f ca="1">EfW!AB21+"Ug1!\U"</f>
        <v>#VALUE!</v>
      </c>
      <c r="GO19" t="e">
        <f ca="1">EfW!AC21+"Ug1!\V"</f>
        <v>#VALUE!</v>
      </c>
      <c r="GP19" t="e">
        <f ca="1">EfW!AD21+"Ug1!\W"</f>
        <v>#VALUE!</v>
      </c>
      <c r="GQ19" t="e">
        <f ca="1">EfW!AE21+"Ug1!\X"</f>
        <v>#VALUE!</v>
      </c>
      <c r="GR19" t="e">
        <f ca="1">EfW!AF21+"Ug1!\Y"</f>
        <v>#VALUE!</v>
      </c>
      <c r="GS19" t="e">
        <f ca="1">EfW!AG21+"Ug1!\Z"</f>
        <v>#VALUE!</v>
      </c>
      <c r="GT19" t="e">
        <f ca="1">EfW!AH21+"Ug1!\["</f>
        <v>#VALUE!</v>
      </c>
      <c r="GU19" t="e">
        <f ca="1">EfW!AI21+"Ug1!\\"</f>
        <v>#VALUE!</v>
      </c>
      <c r="GV19" t="e">
        <f ca="1">EfW!AJ21+"Ug1!\]"</f>
        <v>#VALUE!</v>
      </c>
      <c r="GW19" t="e">
        <f ca="1">EfW!AK21+"Ug1!\^"</f>
        <v>#VALUE!</v>
      </c>
      <c r="GX19" t="e">
        <f ca="1">EfW!AL21+"Ug1!\_"</f>
        <v>#VALUE!</v>
      </c>
      <c r="GY19" t="e">
        <f ca="1">EfW!AM21+"Ug1!\`"</f>
        <v>#VALUE!</v>
      </c>
      <c r="GZ19" t="e">
        <f ca="1">EfW!AN21+"Ug1!\a"</f>
        <v>#VALUE!</v>
      </c>
      <c r="HA19" t="e">
        <f ca="1">EfW!AO21+"Ug1!\b"</f>
        <v>#VALUE!</v>
      </c>
      <c r="HB19" t="e">
        <f ca="1">EfW!AP21+"Ug1!\c"</f>
        <v>#VALUE!</v>
      </c>
      <c r="HC19" t="e">
        <f ca="1">EfW!AQ21+"Ug1!\d"</f>
        <v>#VALUE!</v>
      </c>
      <c r="HD19" t="e">
        <f ca="1">EfW!AR21+"Ug1!\e"</f>
        <v>#VALUE!</v>
      </c>
      <c r="HE19" t="e">
        <f ca="1">EfW!AS21+"Ug1!\f"</f>
        <v>#VALUE!</v>
      </c>
      <c r="HF19" t="e">
        <f ca="1">EfW!AT21+"Ug1!\g"</f>
        <v>#VALUE!</v>
      </c>
      <c r="HG19" t="e">
        <f ca="1">EfW!AU21+"Ug1!\h"</f>
        <v>#VALUE!</v>
      </c>
      <c r="HH19" t="e">
        <f ca="1">EfW!AV21+"Ug1!\i"</f>
        <v>#VALUE!</v>
      </c>
      <c r="HI19" t="e">
        <f ca="1">EfW!AW21+"Ug1!\j"</f>
        <v>#VALUE!</v>
      </c>
      <c r="HJ19" t="e">
        <f ca="1">EfW!AX21+"Ug1!\k"</f>
        <v>#VALUE!</v>
      </c>
      <c r="HK19" t="e">
        <f ca="1">EfW!AY21+"Ug1!\l"</f>
        <v>#VALUE!</v>
      </c>
      <c r="HL19" t="e">
        <f ca="1">EfW!AZ21+"Ug1!\m"</f>
        <v>#VALUE!</v>
      </c>
      <c r="HM19" t="e">
        <f ca="1">EfW!BA21+"Ug1!\n"</f>
        <v>#VALUE!</v>
      </c>
      <c r="HN19" t="e">
        <f ca="1">EfW!BB21+"Ug1!\o"</f>
        <v>#VALUE!</v>
      </c>
      <c r="HO19" t="e">
        <f ca="1">EfW!BC21+"Ug1!\p"</f>
        <v>#VALUE!</v>
      </c>
      <c r="HP19" t="e">
        <f ca="1">EfW!BD21+"Ug1!\q"</f>
        <v>#VALUE!</v>
      </c>
      <c r="HQ19" t="e">
        <f ca="1">EfW!BE21+"Ug1!\r"</f>
        <v>#VALUE!</v>
      </c>
      <c r="HR19" t="e">
        <f ca="1">EfW!BF21+"Ug1!\s"</f>
        <v>#VALUE!</v>
      </c>
      <c r="HS19" t="e">
        <f ca="1">EfW!BG21+"Ug1!\t"</f>
        <v>#VALUE!</v>
      </c>
      <c r="HT19" t="e">
        <f ca="1">EfW!BH21+"Ug1!\u"</f>
        <v>#VALUE!</v>
      </c>
      <c r="HU19" t="e">
        <f ca="1">EfW!BI21+"Ug1!\v"</f>
        <v>#VALUE!</v>
      </c>
      <c r="HV19" t="e">
        <f ca="1">EfW!BJ21+"Ug1!\w"</f>
        <v>#VALUE!</v>
      </c>
      <c r="HW19" t="e">
        <f ca="1">EfW!BK21+"Ug1!\x"</f>
        <v>#VALUE!</v>
      </c>
      <c r="HX19" t="e">
        <f ca="1">EfW!BL21+"Ug1!\y"</f>
        <v>#VALUE!</v>
      </c>
      <c r="HY19" t="e">
        <f ca="1">EfW!BM21+"Ug1!\z"</f>
        <v>#VALUE!</v>
      </c>
      <c r="HZ19" t="e">
        <f ca="1">EfW!BN21+"Ug1!\{"</f>
        <v>#VALUE!</v>
      </c>
      <c r="IA19" t="e">
        <f ca="1">EfW!BO21+"Ug1!\|"</f>
        <v>#VALUE!</v>
      </c>
      <c r="IB19" t="e">
        <f ca="1">EfW!BP21+"Ug1!\}"</f>
        <v>#VALUE!</v>
      </c>
      <c r="IC19" t="e">
        <f ca="1">EfW!BQ21+"Ug1!\~"</f>
        <v>#VALUE!</v>
      </c>
      <c r="ID19" t="e">
        <f ca="1">EfW!BR21+"Ug1!]#"</f>
        <v>#VALUE!</v>
      </c>
      <c r="IE19" t="e">
        <f ca="1">EfW!BS21+"Ug1!]$"</f>
        <v>#VALUE!</v>
      </c>
      <c r="IF19" t="e">
        <f ca="1">EfW!BT21+"Ug1!]%"</f>
        <v>#VALUE!</v>
      </c>
      <c r="IG19" t="e">
        <f ca="1">EfW!BU21+"Ug1!]&amp;"</f>
        <v>#VALUE!</v>
      </c>
      <c r="IH19" t="e">
        <f ca="1">EfW!BV21+"Ug1!]'"</f>
        <v>#VALUE!</v>
      </c>
      <c r="II19" t="e">
        <f ca="1">EfW!BW21+"Ug1!]("</f>
        <v>#VALUE!</v>
      </c>
      <c r="IJ19" t="e">
        <f ca="1">EfW!BX21+"Ug1!])"</f>
        <v>#VALUE!</v>
      </c>
      <c r="IK19" t="e">
        <f ca="1">EfW!BY21+"Ug1!]."</f>
        <v>#VALUE!</v>
      </c>
      <c r="IL19" t="e">
        <f ca="1">EfW!E23+"Ug1!]/"</f>
        <v>#VALUE!</v>
      </c>
      <c r="IM19" t="e">
        <f ca="1">EfW!F23+"Ug1!]0"</f>
        <v>#VALUE!</v>
      </c>
      <c r="IN19" t="e">
        <f ca="1">EfW!G23+"Ug1!]1"</f>
        <v>#VALUE!</v>
      </c>
      <c r="IO19" t="e">
        <f ca="1">EfW!E24+"Ug1!]2"</f>
        <v>#VALUE!</v>
      </c>
      <c r="IP19" t="e">
        <f ca="1">EfW!F24+"Ug1!]3"</f>
        <v>#VALUE!</v>
      </c>
      <c r="IQ19" t="e">
        <f ca="1">EfW!G24+"Ug1!]4"</f>
        <v>#VALUE!</v>
      </c>
      <c r="IR19" t="e">
        <f ca="1">EfW!H24+"Ug1!]5"</f>
        <v>#VALUE!</v>
      </c>
      <c r="IS19" t="e">
        <f ca="1">EfW!I24+"Ug1!]6"</f>
        <v>#VALUE!</v>
      </c>
      <c r="IT19" t="e">
        <f ca="1">EfW!J24+"Ug1!]7"</f>
        <v>#VALUE!</v>
      </c>
      <c r="IU19" t="e">
        <f ca="1">EfW!K24+"Ug1!]8"</f>
        <v>#VALUE!</v>
      </c>
      <c r="IV19" t="e">
        <f ca="1">EfW!L24+"Ug1!]9"</f>
        <v>#VALUE!</v>
      </c>
    </row>
    <row r="20" spans="6:256" x14ac:dyDescent="0.2">
      <c r="F20" t="e">
        <f ca="1">EfW!M24+"Ug1!]:"</f>
        <v>#VALUE!</v>
      </c>
      <c r="G20" t="e">
        <f ca="1">EfW!N24+"Ug1!];"</f>
        <v>#VALUE!</v>
      </c>
      <c r="H20" t="e">
        <f ca="1">EfW!O24+"Ug1!]&lt;"</f>
        <v>#VALUE!</v>
      </c>
      <c r="I20" t="e">
        <f ca="1">EfW!P24+"Ug1!]="</f>
        <v>#VALUE!</v>
      </c>
      <c r="J20" t="e">
        <f ca="1">EfW!Q24+"Ug1!]&gt;"</f>
        <v>#VALUE!</v>
      </c>
      <c r="K20" t="e">
        <f ca="1">EfW!R24+"Ug1!]?"</f>
        <v>#VALUE!</v>
      </c>
      <c r="L20" t="e">
        <f ca="1">EfW!S24+"Ug1!]@"</f>
        <v>#VALUE!</v>
      </c>
      <c r="M20" t="e">
        <f ca="1">EfW!T24+"Ug1!]A"</f>
        <v>#VALUE!</v>
      </c>
      <c r="N20" t="e">
        <f ca="1">EfW!U24+"Ug1!]B"</f>
        <v>#VALUE!</v>
      </c>
      <c r="O20" t="e">
        <f ca="1">EfW!V24+"Ug1!]C"</f>
        <v>#VALUE!</v>
      </c>
      <c r="P20" t="e">
        <f ca="1">EfW!W24+"Ug1!]D"</f>
        <v>#VALUE!</v>
      </c>
      <c r="Q20" t="e">
        <f ca="1">EfW!X24+"Ug1!]E"</f>
        <v>#VALUE!</v>
      </c>
      <c r="R20" t="e">
        <f ca="1">EfW!Y24+"Ug1!]F"</f>
        <v>#VALUE!</v>
      </c>
      <c r="S20" t="e">
        <f ca="1">EfW!Z24+"Ug1!]G"</f>
        <v>#VALUE!</v>
      </c>
      <c r="T20" t="e">
        <f ca="1">EfW!AA24+"Ug1!]H"</f>
        <v>#VALUE!</v>
      </c>
      <c r="U20" t="e">
        <f ca="1">EfW!AB24+"Ug1!]I"</f>
        <v>#VALUE!</v>
      </c>
      <c r="V20" t="e">
        <f ca="1">EfW!AC24+"Ug1!]J"</f>
        <v>#VALUE!</v>
      </c>
      <c r="W20" t="e">
        <f ca="1">EfW!AD24+"Ug1!]K"</f>
        <v>#VALUE!</v>
      </c>
      <c r="X20" t="e">
        <f ca="1">EfW!AE24+"Ug1!]L"</f>
        <v>#VALUE!</v>
      </c>
      <c r="Y20" t="e">
        <f ca="1">EfW!AF24+"Ug1!]M"</f>
        <v>#VALUE!</v>
      </c>
      <c r="Z20" t="e">
        <f ca="1">EfW!AG24+"Ug1!]N"</f>
        <v>#VALUE!</v>
      </c>
      <c r="AA20" t="e">
        <f ca="1">EfW!AH24+"Ug1!]O"</f>
        <v>#VALUE!</v>
      </c>
      <c r="AB20" t="e">
        <f ca="1">EfW!AI24+"Ug1!]P"</f>
        <v>#VALUE!</v>
      </c>
      <c r="AC20" t="e">
        <f ca="1">EfW!AJ24+"Ug1!]Q"</f>
        <v>#VALUE!</v>
      </c>
      <c r="AD20" t="e">
        <f ca="1">EfW!AK24+"Ug1!]R"</f>
        <v>#VALUE!</v>
      </c>
      <c r="AE20" t="e">
        <f ca="1">EfW!AL24+"Ug1!]S"</f>
        <v>#VALUE!</v>
      </c>
      <c r="AF20" t="e">
        <f ca="1">EfW!AM24+"Ug1!]T"</f>
        <v>#VALUE!</v>
      </c>
      <c r="AG20" t="e">
        <f ca="1">EfW!AN24+"Ug1!]U"</f>
        <v>#VALUE!</v>
      </c>
      <c r="AH20" t="e">
        <f ca="1">EfW!AO24+"Ug1!]V"</f>
        <v>#VALUE!</v>
      </c>
      <c r="AI20" t="e">
        <f ca="1">EfW!AP24+"Ug1!]W"</f>
        <v>#VALUE!</v>
      </c>
      <c r="AJ20" t="e">
        <f ca="1">EfW!AQ24+"Ug1!]X"</f>
        <v>#VALUE!</v>
      </c>
      <c r="AK20" t="e">
        <f ca="1">EfW!AR24+"Ug1!]Y"</f>
        <v>#VALUE!</v>
      </c>
      <c r="AL20" t="e">
        <f ca="1">EfW!AS24+"Ug1!]Z"</f>
        <v>#VALUE!</v>
      </c>
      <c r="AM20" t="e">
        <f ca="1">EfW!AT24+"Ug1!]["</f>
        <v>#VALUE!</v>
      </c>
      <c r="AN20" t="e">
        <f ca="1">EfW!AU24+"Ug1!]\"</f>
        <v>#VALUE!</v>
      </c>
      <c r="AO20" t="e">
        <f ca="1">EfW!AV24+"Ug1!]]"</f>
        <v>#VALUE!</v>
      </c>
      <c r="AP20" t="e">
        <f ca="1">EfW!AW24+"Ug1!]^"</f>
        <v>#VALUE!</v>
      </c>
      <c r="AQ20" t="e">
        <f ca="1">EfW!AX24+"Ug1!]_"</f>
        <v>#VALUE!</v>
      </c>
      <c r="AR20" t="e">
        <f ca="1">EfW!AY24+"Ug1!]`"</f>
        <v>#VALUE!</v>
      </c>
      <c r="AS20" t="e">
        <f ca="1">EfW!AZ24+"Ug1!]a"</f>
        <v>#VALUE!</v>
      </c>
      <c r="AT20" t="e">
        <f ca="1">EfW!BA24+"Ug1!]b"</f>
        <v>#VALUE!</v>
      </c>
      <c r="AU20" t="e">
        <f ca="1">EfW!BB24+"Ug1!]c"</f>
        <v>#VALUE!</v>
      </c>
      <c r="AV20" t="e">
        <f ca="1">EfW!BC24+"Ug1!]d"</f>
        <v>#VALUE!</v>
      </c>
      <c r="AW20" t="e">
        <f ca="1">EfW!BD24+"Ug1!]e"</f>
        <v>#VALUE!</v>
      </c>
      <c r="AX20" t="e">
        <f ca="1">EfW!BE24+"Ug1!]f"</f>
        <v>#VALUE!</v>
      </c>
      <c r="AY20" t="e">
        <f ca="1">EfW!BF24+"Ug1!]g"</f>
        <v>#VALUE!</v>
      </c>
      <c r="AZ20" t="e">
        <f ca="1">EfW!BG24+"Ug1!]h"</f>
        <v>#VALUE!</v>
      </c>
      <c r="BA20" t="e">
        <f ca="1">EfW!BH24+"Ug1!]i"</f>
        <v>#VALUE!</v>
      </c>
      <c r="BB20" t="e">
        <f ca="1">EfW!BI24+"Ug1!]j"</f>
        <v>#VALUE!</v>
      </c>
      <c r="BC20" t="e">
        <f ca="1">EfW!BJ24+"Ug1!]k"</f>
        <v>#VALUE!</v>
      </c>
      <c r="BD20" t="e">
        <f ca="1">EfW!BK24+"Ug1!]l"</f>
        <v>#VALUE!</v>
      </c>
      <c r="BE20" t="e">
        <f ca="1">EfW!BL24+"Ug1!]m"</f>
        <v>#VALUE!</v>
      </c>
      <c r="BF20" t="e">
        <f ca="1">EfW!BM24+"Ug1!]n"</f>
        <v>#VALUE!</v>
      </c>
      <c r="BG20" t="e">
        <f ca="1">EfW!BN24+"Ug1!]o"</f>
        <v>#VALUE!</v>
      </c>
      <c r="BH20" t="e">
        <f ca="1">EfW!BO24+"Ug1!]p"</f>
        <v>#VALUE!</v>
      </c>
      <c r="BI20" t="e">
        <f ca="1">EfW!BP24+"Ug1!]q"</f>
        <v>#VALUE!</v>
      </c>
      <c r="BJ20" t="e">
        <f ca="1">EfW!BQ24+"Ug1!]r"</f>
        <v>#VALUE!</v>
      </c>
      <c r="BK20" t="e">
        <f ca="1">EfW!BR24+"Ug1!]s"</f>
        <v>#VALUE!</v>
      </c>
      <c r="BL20" t="e">
        <f ca="1">EfW!BS24+"Ug1!]t"</f>
        <v>#VALUE!</v>
      </c>
      <c r="BM20" t="e">
        <f ca="1">EfW!BT24+"Ug1!]u"</f>
        <v>#VALUE!</v>
      </c>
      <c r="BN20" t="e">
        <f ca="1">EfW!BU24+"Ug1!]v"</f>
        <v>#VALUE!</v>
      </c>
      <c r="BO20" t="e">
        <f ca="1">EfW!BV24+"Ug1!]w"</f>
        <v>#VALUE!</v>
      </c>
      <c r="BP20" t="e">
        <f ca="1">EfW!BW24+"Ug1!]x"</f>
        <v>#VALUE!</v>
      </c>
      <c r="BQ20" t="e">
        <f ca="1">EfW!BX24+"Ug1!]y"</f>
        <v>#VALUE!</v>
      </c>
      <c r="BR20" t="e">
        <f ca="1">EfW!BY24+"Ug1!]z"</f>
        <v>#VALUE!</v>
      </c>
      <c r="BS20" t="e">
        <f ca="1">EfW!A25+"Ug1!]{"</f>
        <v>#VALUE!</v>
      </c>
      <c r="BT20" t="e">
        <f ca="1">EfW!B25+"Ug1!]|"</f>
        <v>#VALUE!</v>
      </c>
      <c r="BU20" t="e">
        <f ca="1">EfW!C25+"Ug1!]}"</f>
        <v>#VALUE!</v>
      </c>
      <c r="BV20" t="e">
        <f ca="1">EfW!D25+"Ug1!]~"</f>
        <v>#VALUE!</v>
      </c>
      <c r="BW20" t="e">
        <f ca="1">EfW!E25+"Ug1!^#"</f>
        <v>#VALUE!</v>
      </c>
      <c r="BX20" t="e">
        <f ca="1">EfW!F25+"Ug1!^$"</f>
        <v>#VALUE!</v>
      </c>
      <c r="BY20" t="e">
        <f ca="1">EfW!G25+"Ug1!^%"</f>
        <v>#VALUE!</v>
      </c>
      <c r="BZ20" t="e">
        <f ca="1">EfW!H25+"Ug1!^&amp;"</f>
        <v>#VALUE!</v>
      </c>
      <c r="CA20" t="e">
        <f ca="1">EfW!I25+"Ug1!^'"</f>
        <v>#VALUE!</v>
      </c>
      <c r="CB20" t="e">
        <f ca="1">EfW!J25+"Ug1!^("</f>
        <v>#VALUE!</v>
      </c>
      <c r="CC20" t="e">
        <f ca="1">EfW!K25+"Ug1!^)"</f>
        <v>#VALUE!</v>
      </c>
      <c r="CD20" t="e">
        <f ca="1">EfW!L25+"Ug1!^."</f>
        <v>#VALUE!</v>
      </c>
      <c r="CE20" t="e">
        <f ca="1">EfW!M25+"Ug1!^/"</f>
        <v>#VALUE!</v>
      </c>
      <c r="CF20" t="e">
        <f ca="1">EfW!N25+"Ug1!^0"</f>
        <v>#VALUE!</v>
      </c>
      <c r="CG20" t="e">
        <f ca="1">EfW!O25+"Ug1!^1"</f>
        <v>#VALUE!</v>
      </c>
      <c r="CH20" t="e">
        <f ca="1">EfW!P25+"Ug1!^2"</f>
        <v>#VALUE!</v>
      </c>
      <c r="CI20" t="e">
        <f ca="1">EfW!Q25+"Ug1!^3"</f>
        <v>#VALUE!</v>
      </c>
      <c r="CJ20" t="e">
        <f ca="1">EfW!R25+"Ug1!^4"</f>
        <v>#VALUE!</v>
      </c>
      <c r="CK20" t="e">
        <f ca="1">EfW!S25+"Ug1!^5"</f>
        <v>#VALUE!</v>
      </c>
      <c r="CL20" t="e">
        <f ca="1">EfW!T25+"Ug1!^6"</f>
        <v>#VALUE!</v>
      </c>
      <c r="CM20" t="e">
        <f ca="1">EfW!U25+"Ug1!^7"</f>
        <v>#VALUE!</v>
      </c>
      <c r="CN20" t="e">
        <f ca="1">EfW!V25+"Ug1!^8"</f>
        <v>#VALUE!</v>
      </c>
      <c r="CO20" t="e">
        <f ca="1">EfW!W25+"Ug1!^9"</f>
        <v>#VALUE!</v>
      </c>
      <c r="CP20" t="e">
        <f ca="1">EfW!X25+"Ug1!^:"</f>
        <v>#VALUE!</v>
      </c>
      <c r="CQ20" t="e">
        <f ca="1">EfW!Y25+"Ug1!^;"</f>
        <v>#VALUE!</v>
      </c>
      <c r="CR20" t="e">
        <f ca="1">EfW!Z25+"Ug1!^&lt;"</f>
        <v>#VALUE!</v>
      </c>
      <c r="CS20" t="e">
        <f ca="1">EfW!AA25+"Ug1!^="</f>
        <v>#VALUE!</v>
      </c>
      <c r="CT20" t="e">
        <f ca="1">EfW!AB25+"Ug1!^&gt;"</f>
        <v>#VALUE!</v>
      </c>
      <c r="CU20" t="e">
        <f ca="1">EfW!AC25+"Ug1!^?"</f>
        <v>#VALUE!</v>
      </c>
      <c r="CV20" t="e">
        <f ca="1">EfW!AD25+"Ug1!^@"</f>
        <v>#VALUE!</v>
      </c>
      <c r="CW20" t="e">
        <f ca="1">EfW!AE25+"Ug1!^A"</f>
        <v>#VALUE!</v>
      </c>
      <c r="CX20" t="e">
        <f ca="1">EfW!AF25+"Ug1!^B"</f>
        <v>#VALUE!</v>
      </c>
      <c r="CY20" t="e">
        <f ca="1">EfW!AG25+"Ug1!^C"</f>
        <v>#VALUE!</v>
      </c>
      <c r="CZ20" t="e">
        <f ca="1">EfW!AH25+"Ug1!^D"</f>
        <v>#VALUE!</v>
      </c>
      <c r="DA20" t="e">
        <f ca="1">EfW!AI25+"Ug1!^E"</f>
        <v>#VALUE!</v>
      </c>
      <c r="DB20" t="e">
        <f ca="1">EfW!AJ25+"Ug1!^F"</f>
        <v>#VALUE!</v>
      </c>
      <c r="DC20" t="e">
        <f ca="1">EfW!AK25+"Ug1!^G"</f>
        <v>#VALUE!</v>
      </c>
      <c r="DD20" t="e">
        <f ca="1">EfW!AL25+"Ug1!^H"</f>
        <v>#VALUE!</v>
      </c>
      <c r="DE20" t="e">
        <f ca="1">EfW!AM25+"Ug1!^I"</f>
        <v>#VALUE!</v>
      </c>
      <c r="DF20" t="e">
        <f ca="1">EfW!AN25+"Ug1!^J"</f>
        <v>#VALUE!</v>
      </c>
      <c r="DG20" t="e">
        <f ca="1">EfW!AO25+"Ug1!^K"</f>
        <v>#VALUE!</v>
      </c>
      <c r="DH20" t="e">
        <f ca="1">EfW!AP25+"Ug1!^L"</f>
        <v>#VALUE!</v>
      </c>
      <c r="DI20" t="e">
        <f ca="1">EfW!AQ25+"Ug1!^M"</f>
        <v>#VALUE!</v>
      </c>
      <c r="DJ20" t="e">
        <f ca="1">EfW!AR25+"Ug1!^N"</f>
        <v>#VALUE!</v>
      </c>
      <c r="DK20" t="e">
        <f ca="1">EfW!AS25+"Ug1!^O"</f>
        <v>#VALUE!</v>
      </c>
      <c r="DL20" t="e">
        <f ca="1">EfW!AT25+"Ug1!^P"</f>
        <v>#VALUE!</v>
      </c>
      <c r="DM20" t="e">
        <f ca="1">EfW!AU25+"Ug1!^Q"</f>
        <v>#VALUE!</v>
      </c>
      <c r="DN20" t="e">
        <f ca="1">EfW!AV25+"Ug1!^R"</f>
        <v>#VALUE!</v>
      </c>
      <c r="DO20" t="e">
        <f ca="1">EfW!AW25+"Ug1!^S"</f>
        <v>#VALUE!</v>
      </c>
      <c r="DP20" t="e">
        <f ca="1">EfW!AX25+"Ug1!^T"</f>
        <v>#VALUE!</v>
      </c>
      <c r="DQ20" t="e">
        <f ca="1">EfW!AY25+"Ug1!^U"</f>
        <v>#VALUE!</v>
      </c>
      <c r="DR20" t="e">
        <f ca="1">EfW!AZ25+"Ug1!^V"</f>
        <v>#VALUE!</v>
      </c>
      <c r="DS20" t="e">
        <f ca="1">EfW!BA25+"Ug1!^W"</f>
        <v>#VALUE!</v>
      </c>
      <c r="DT20" t="e">
        <f ca="1">EfW!BB25+"Ug1!^X"</f>
        <v>#VALUE!</v>
      </c>
      <c r="DU20" t="e">
        <f ca="1">EfW!BC25+"Ug1!^Y"</f>
        <v>#VALUE!</v>
      </c>
      <c r="DV20" t="e">
        <f ca="1">EfW!BD25+"Ug1!^Z"</f>
        <v>#VALUE!</v>
      </c>
      <c r="DW20" t="e">
        <f ca="1">EfW!BE25+"Ug1!^["</f>
        <v>#VALUE!</v>
      </c>
      <c r="DX20" t="e">
        <f ca="1">EfW!BF25+"Ug1!^\"</f>
        <v>#VALUE!</v>
      </c>
      <c r="DY20" t="e">
        <f ca="1">EfW!BG25+"Ug1!^]"</f>
        <v>#VALUE!</v>
      </c>
      <c r="DZ20" t="e">
        <f ca="1">EfW!BH25+"Ug1!^^"</f>
        <v>#VALUE!</v>
      </c>
      <c r="EA20" t="e">
        <f ca="1">EfW!BI25+"Ug1!^_"</f>
        <v>#VALUE!</v>
      </c>
      <c r="EB20" t="e">
        <f ca="1">EfW!BJ25+"Ug1!^`"</f>
        <v>#VALUE!</v>
      </c>
      <c r="EC20" t="e">
        <f ca="1">EfW!BK25+"Ug1!^a"</f>
        <v>#VALUE!</v>
      </c>
      <c r="ED20" t="e">
        <f ca="1">EfW!BL25+"Ug1!^b"</f>
        <v>#VALUE!</v>
      </c>
      <c r="EE20" t="e">
        <f ca="1">EfW!BM25+"Ug1!^c"</f>
        <v>#VALUE!</v>
      </c>
      <c r="EF20" t="e">
        <f ca="1">EfW!BN25+"Ug1!^d"</f>
        <v>#VALUE!</v>
      </c>
      <c r="EG20" t="e">
        <f ca="1">EfW!BO25+"Ug1!^e"</f>
        <v>#VALUE!</v>
      </c>
      <c r="EH20" t="e">
        <f ca="1">EfW!BP25+"Ug1!^f"</f>
        <v>#VALUE!</v>
      </c>
      <c r="EI20" t="e">
        <f ca="1">EfW!BQ25+"Ug1!^g"</f>
        <v>#VALUE!</v>
      </c>
      <c r="EJ20" t="e">
        <f ca="1">EfW!BR25+"Ug1!^h"</f>
        <v>#VALUE!</v>
      </c>
      <c r="EK20" t="e">
        <f ca="1">EfW!BS25+"Ug1!^i"</f>
        <v>#VALUE!</v>
      </c>
      <c r="EL20" t="e">
        <f ca="1">EfW!BT25+"Ug1!^j"</f>
        <v>#VALUE!</v>
      </c>
      <c r="EM20" t="e">
        <f ca="1">EfW!BU25+"Ug1!^k"</f>
        <v>#VALUE!</v>
      </c>
      <c r="EN20" t="e">
        <f ca="1">EfW!BV25+"Ug1!^l"</f>
        <v>#VALUE!</v>
      </c>
      <c r="EO20" t="e">
        <f ca="1">EfW!BW25+"Ug1!^m"</f>
        <v>#VALUE!</v>
      </c>
      <c r="EP20" t="e">
        <f ca="1">EfW!BX25+"Ug1!^n"</f>
        <v>#VALUE!</v>
      </c>
      <c r="EQ20" t="e">
        <f ca="1">EfW!BY25+"Ug1!^o"</f>
        <v>#VALUE!</v>
      </c>
      <c r="ER20" t="e">
        <f ca="1">EfW!E26+"Ug1!^p"</f>
        <v>#VALUE!</v>
      </c>
      <c r="ES20" t="e">
        <f ca="1">EfW!G26+"Ug1!^q"</f>
        <v>#VALUE!</v>
      </c>
      <c r="ET20" t="e">
        <f ca="1">EfW!H26+"Ug1!^r"</f>
        <v>#VALUE!</v>
      </c>
      <c r="EU20" t="e">
        <f ca="1">EfW!J26+"Ug1!^s"</f>
        <v>#VALUE!</v>
      </c>
      <c r="EV20" t="e">
        <f ca="1">EfW!K26+"Ug1!^t"</f>
        <v>#VALUE!</v>
      </c>
      <c r="EW20" t="e">
        <f ca="1">EfW!L26+"Ug1!^u"</f>
        <v>#VALUE!</v>
      </c>
      <c r="EX20" t="e">
        <f ca="1">EfW!M26+"Ug1!^v"</f>
        <v>#VALUE!</v>
      </c>
      <c r="EY20" t="e">
        <f ca="1">EfW!N26+"Ug1!^w"</f>
        <v>#VALUE!</v>
      </c>
      <c r="EZ20" t="e">
        <f ca="1">EfW!O26+"Ug1!^x"</f>
        <v>#VALUE!</v>
      </c>
      <c r="FA20" t="e">
        <f ca="1">EfW!P26+"Ug1!^y"</f>
        <v>#VALUE!</v>
      </c>
      <c r="FB20" t="e">
        <f ca="1">EfW!Q26+"Ug1!^z"</f>
        <v>#VALUE!</v>
      </c>
      <c r="FC20" t="e">
        <f ca="1">EfW!R26+"Ug1!^{"</f>
        <v>#VALUE!</v>
      </c>
      <c r="FD20" t="e">
        <f ca="1">EfW!S26+"Ug1!^|"</f>
        <v>#VALUE!</v>
      </c>
      <c r="FE20" t="e">
        <f ca="1">EfW!T26+"Ug1!^}"</f>
        <v>#VALUE!</v>
      </c>
      <c r="FF20" t="e">
        <f ca="1">EfW!U26+"Ug1!^~"</f>
        <v>#VALUE!</v>
      </c>
      <c r="FG20" t="e">
        <f ca="1">EfW!V26+"Ug1!_#"</f>
        <v>#VALUE!</v>
      </c>
      <c r="FH20" t="e">
        <f ca="1">EfW!W26+"Ug1!_$"</f>
        <v>#VALUE!</v>
      </c>
      <c r="FI20" t="e">
        <f ca="1">EfW!X26+"Ug1!_%"</f>
        <v>#VALUE!</v>
      </c>
      <c r="FJ20" t="e">
        <f ca="1">EfW!Y26+"Ug1!_&amp;"</f>
        <v>#VALUE!</v>
      </c>
      <c r="FK20" t="e">
        <f ca="1">EfW!Z26+"Ug1!_'"</f>
        <v>#VALUE!</v>
      </c>
      <c r="FL20" t="e">
        <f ca="1">EfW!AA26+"Ug1!_("</f>
        <v>#VALUE!</v>
      </c>
      <c r="FM20" t="e">
        <f ca="1">EfW!AB26+"Ug1!_)"</f>
        <v>#VALUE!</v>
      </c>
      <c r="FN20" t="e">
        <f ca="1">EfW!AC26+"Ug1!_."</f>
        <v>#VALUE!</v>
      </c>
      <c r="FO20" t="e">
        <f ca="1">EfW!AD26+"Ug1!_/"</f>
        <v>#VALUE!</v>
      </c>
      <c r="FP20" t="e">
        <f ca="1">EfW!AE26+"Ug1!_0"</f>
        <v>#VALUE!</v>
      </c>
      <c r="FQ20" t="e">
        <f ca="1">EfW!AF26+"Ug1!_1"</f>
        <v>#VALUE!</v>
      </c>
      <c r="FR20" t="e">
        <f ca="1">EfW!AG26+"Ug1!_2"</f>
        <v>#VALUE!</v>
      </c>
      <c r="FS20" t="e">
        <f ca="1">EfW!AH26+"Ug1!_3"</f>
        <v>#VALUE!</v>
      </c>
      <c r="FT20" t="e">
        <f ca="1">EfW!AI26+"Ug1!_4"</f>
        <v>#VALUE!</v>
      </c>
      <c r="FU20" t="e">
        <f ca="1">EfW!AJ26+"Ug1!_5"</f>
        <v>#VALUE!</v>
      </c>
      <c r="FV20" t="e">
        <f ca="1">EfW!AK26+"Ug1!_6"</f>
        <v>#VALUE!</v>
      </c>
      <c r="FW20" t="e">
        <f ca="1">EfW!AL26+"Ug1!_7"</f>
        <v>#VALUE!</v>
      </c>
      <c r="FX20" t="e">
        <f ca="1">EfW!AM26+"Ug1!_8"</f>
        <v>#VALUE!</v>
      </c>
      <c r="FY20" t="e">
        <f ca="1">EfW!AN26+"Ug1!_9"</f>
        <v>#VALUE!</v>
      </c>
      <c r="FZ20" t="e">
        <f ca="1">EfW!AO26+"Ug1!_:"</f>
        <v>#VALUE!</v>
      </c>
      <c r="GA20" t="e">
        <f ca="1">EfW!AP26+"Ug1!_;"</f>
        <v>#VALUE!</v>
      </c>
      <c r="GB20" t="e">
        <f ca="1">EfW!AQ26+"Ug1!_&lt;"</f>
        <v>#VALUE!</v>
      </c>
      <c r="GC20" t="e">
        <f ca="1">EfW!AR26+"Ug1!_="</f>
        <v>#VALUE!</v>
      </c>
      <c r="GD20" t="e">
        <f ca="1">EfW!AS26+"Ug1!_&gt;"</f>
        <v>#VALUE!</v>
      </c>
      <c r="GE20" t="e">
        <f ca="1">EfW!AT26+"Ug1!_?"</f>
        <v>#VALUE!</v>
      </c>
      <c r="GF20" t="e">
        <f ca="1">EfW!AU26+"Ug1!_@"</f>
        <v>#VALUE!</v>
      </c>
      <c r="GG20" t="e">
        <f ca="1">EfW!AV26+"Ug1!_A"</f>
        <v>#VALUE!</v>
      </c>
      <c r="GH20" t="e">
        <f ca="1">EfW!AW26+"Ug1!_B"</f>
        <v>#VALUE!</v>
      </c>
      <c r="GI20" t="e">
        <f ca="1">EfW!AX26+"Ug1!_C"</f>
        <v>#VALUE!</v>
      </c>
      <c r="GJ20" t="e">
        <f ca="1">EfW!AY26+"Ug1!_D"</f>
        <v>#VALUE!</v>
      </c>
      <c r="GK20" t="e">
        <f ca="1">EfW!AZ26+"Ug1!_E"</f>
        <v>#VALUE!</v>
      </c>
      <c r="GL20" t="e">
        <f ca="1">EfW!BA26+"Ug1!_F"</f>
        <v>#VALUE!</v>
      </c>
      <c r="GM20" t="e">
        <f ca="1">EfW!BB26+"Ug1!_G"</f>
        <v>#VALUE!</v>
      </c>
      <c r="GN20" t="e">
        <f ca="1">EfW!BC26+"Ug1!_H"</f>
        <v>#VALUE!</v>
      </c>
      <c r="GO20" t="e">
        <f ca="1">EfW!BD26+"Ug1!_I"</f>
        <v>#VALUE!</v>
      </c>
      <c r="GP20" t="e">
        <f ca="1">EfW!BE26+"Ug1!_J"</f>
        <v>#VALUE!</v>
      </c>
      <c r="GQ20" t="e">
        <f ca="1">EfW!BF26+"Ug1!_K"</f>
        <v>#VALUE!</v>
      </c>
      <c r="GR20" t="e">
        <f ca="1">EfW!BG26+"Ug1!_L"</f>
        <v>#VALUE!</v>
      </c>
      <c r="GS20" t="e">
        <f ca="1">EfW!BH26+"Ug1!_M"</f>
        <v>#VALUE!</v>
      </c>
      <c r="GT20" t="e">
        <f ca="1">EfW!BI26+"Ug1!_N"</f>
        <v>#VALUE!</v>
      </c>
      <c r="GU20" t="e">
        <f ca="1">EfW!BJ26+"Ug1!_O"</f>
        <v>#VALUE!</v>
      </c>
      <c r="GV20" t="e">
        <f ca="1">EfW!BK26+"Ug1!_P"</f>
        <v>#VALUE!</v>
      </c>
      <c r="GW20" t="e">
        <f ca="1">EfW!BL26+"Ug1!_Q"</f>
        <v>#VALUE!</v>
      </c>
      <c r="GX20" t="e">
        <f ca="1">EfW!BM26+"Ug1!_R"</f>
        <v>#VALUE!</v>
      </c>
      <c r="GY20" t="e">
        <f ca="1">EfW!BN26+"Ug1!_S"</f>
        <v>#VALUE!</v>
      </c>
      <c r="GZ20" t="e">
        <f ca="1">EfW!BO26+"Ug1!_T"</f>
        <v>#VALUE!</v>
      </c>
      <c r="HA20" t="e">
        <f ca="1">EfW!BP26+"Ug1!_U"</f>
        <v>#VALUE!</v>
      </c>
      <c r="HB20" t="e">
        <f ca="1">EfW!BQ26+"Ug1!_V"</f>
        <v>#VALUE!</v>
      </c>
      <c r="HC20" t="e">
        <f ca="1">EfW!BR26+"Ug1!_W"</f>
        <v>#VALUE!</v>
      </c>
      <c r="HD20" t="e">
        <f ca="1">EfW!BS26+"Ug1!_X"</f>
        <v>#VALUE!</v>
      </c>
      <c r="HE20" t="e">
        <f ca="1">EfW!BT26+"Ug1!_Y"</f>
        <v>#VALUE!</v>
      </c>
      <c r="HF20" t="e">
        <f ca="1">EfW!BU26+"Ug1!_Z"</f>
        <v>#VALUE!</v>
      </c>
      <c r="HG20" t="e">
        <f ca="1">EfW!BV26+"Ug1!_["</f>
        <v>#VALUE!</v>
      </c>
      <c r="HH20" t="e">
        <f ca="1">EfW!BW26+"Ug1!_\"</f>
        <v>#VALUE!</v>
      </c>
      <c r="HI20" t="e">
        <f ca="1">EfW!BX26+"Ug1!_]"</f>
        <v>#VALUE!</v>
      </c>
      <c r="HJ20" t="e">
        <f ca="1">EfW!BY26+"Ug1!_^"</f>
        <v>#VALUE!</v>
      </c>
      <c r="HK20" t="e">
        <f ca="1">EfW!A27+"Ug1!__"</f>
        <v>#VALUE!</v>
      </c>
      <c r="HL20" t="e">
        <f ca="1">EfW!B27+"Ug1!_`"</f>
        <v>#VALUE!</v>
      </c>
      <c r="HM20" t="e">
        <f ca="1">EfW!C27+"Ug1!_a"</f>
        <v>#VALUE!</v>
      </c>
      <c r="HN20" t="e">
        <f ca="1">EfW!D27+"Ug1!_b"</f>
        <v>#VALUE!</v>
      </c>
      <c r="HO20" t="e">
        <f ca="1">EfW!E28+"Ug1!_c"</f>
        <v>#VALUE!</v>
      </c>
      <c r="HP20" t="e">
        <f ca="1">EfW!F28+"Ug1!_d"</f>
        <v>#VALUE!</v>
      </c>
      <c r="HQ20" t="e">
        <f ca="1">EfW!G28+"Ug1!_e"</f>
        <v>#VALUE!</v>
      </c>
      <c r="HR20" t="e">
        <f ca="1">EfW!E29+"Ug1!_f"</f>
        <v>#VALUE!</v>
      </c>
      <c r="HS20" t="e">
        <f ca="1">EfW!F29+"Ug1!_g"</f>
        <v>#VALUE!</v>
      </c>
      <c r="HT20" t="e">
        <f ca="1">EfW!G29+"Ug1!_h"</f>
        <v>#VALUE!</v>
      </c>
      <c r="HU20" t="e">
        <f ca="1">EfW!H29+"Ug1!_i"</f>
        <v>#VALUE!</v>
      </c>
      <c r="HV20" t="e">
        <f ca="1">EfW!I29+"Ug1!_j"</f>
        <v>#VALUE!</v>
      </c>
      <c r="HW20" t="e">
        <f ca="1">EfW!J29+"Ug1!_k"</f>
        <v>#VALUE!</v>
      </c>
      <c r="HX20" t="e">
        <f ca="1">EfW!K29+"Ug1!_l"</f>
        <v>#VALUE!</v>
      </c>
      <c r="HY20" t="e">
        <f ca="1">EfW!L29+"Ug1!_m"</f>
        <v>#VALUE!</v>
      </c>
      <c r="HZ20" t="e">
        <f ca="1">EfW!M29+"Ug1!_n"</f>
        <v>#VALUE!</v>
      </c>
      <c r="IA20" t="e">
        <f ca="1">EfW!N29+"Ug1!_o"</f>
        <v>#VALUE!</v>
      </c>
      <c r="IB20" t="e">
        <f ca="1">EfW!O29+"Ug1!_p"</f>
        <v>#VALUE!</v>
      </c>
      <c r="IC20" t="e">
        <f ca="1">EfW!P29+"Ug1!_q"</f>
        <v>#VALUE!</v>
      </c>
      <c r="ID20" t="e">
        <f ca="1">EfW!Q29+"Ug1!_r"</f>
        <v>#VALUE!</v>
      </c>
      <c r="IE20" t="e">
        <f ca="1">EfW!R29+"Ug1!_s"</f>
        <v>#VALUE!</v>
      </c>
      <c r="IF20" t="e">
        <f ca="1">EfW!S29+"Ug1!_t"</f>
        <v>#VALUE!</v>
      </c>
      <c r="IG20" t="e">
        <f ca="1">EfW!T29+"Ug1!_u"</f>
        <v>#VALUE!</v>
      </c>
      <c r="IH20" t="e">
        <f ca="1">EfW!U29+"Ug1!_v"</f>
        <v>#VALUE!</v>
      </c>
      <c r="II20" t="e">
        <f ca="1">EfW!V29+"Ug1!_w"</f>
        <v>#VALUE!</v>
      </c>
      <c r="IJ20" t="e">
        <f ca="1">EfW!W29+"Ug1!_x"</f>
        <v>#VALUE!</v>
      </c>
      <c r="IK20" t="e">
        <f ca="1">EfW!X29+"Ug1!_y"</f>
        <v>#VALUE!</v>
      </c>
      <c r="IL20" t="e">
        <f ca="1">EfW!Y29+"Ug1!_z"</f>
        <v>#VALUE!</v>
      </c>
      <c r="IM20" t="e">
        <f ca="1">EfW!Z29+"Ug1!_{"</f>
        <v>#VALUE!</v>
      </c>
      <c r="IN20" t="e">
        <f ca="1">EfW!AA29+"Ug1!_|"</f>
        <v>#VALUE!</v>
      </c>
      <c r="IO20" t="e">
        <f ca="1">EfW!AB29+"Ug1!_}"</f>
        <v>#VALUE!</v>
      </c>
      <c r="IP20" t="e">
        <f ca="1">EfW!AC29+"Ug1!_~"</f>
        <v>#VALUE!</v>
      </c>
      <c r="IQ20" t="e">
        <f ca="1">EfW!AD29+"Ug1!`#"</f>
        <v>#VALUE!</v>
      </c>
      <c r="IR20" t="e">
        <f ca="1">EfW!AE29+"Ug1!`$"</f>
        <v>#VALUE!</v>
      </c>
      <c r="IS20" t="e">
        <f ca="1">EfW!AF29+"Ug1!`%"</f>
        <v>#VALUE!</v>
      </c>
      <c r="IT20" t="e">
        <f ca="1">EfW!AG29+"Ug1!`&amp;"</f>
        <v>#VALUE!</v>
      </c>
      <c r="IU20" t="e">
        <f ca="1">EfW!AH29+"Ug1!`'"</f>
        <v>#VALUE!</v>
      </c>
      <c r="IV20" t="e">
        <f ca="1">EfW!AI29+"Ug1!`("</f>
        <v>#VALUE!</v>
      </c>
    </row>
    <row r="21" spans="6:256" x14ac:dyDescent="0.2">
      <c r="F21" t="e">
        <f ca="1">EfW!AJ29+"Ug1!`)"</f>
        <v>#VALUE!</v>
      </c>
      <c r="G21" t="e">
        <f ca="1">EfW!AK29+"Ug1!`."</f>
        <v>#VALUE!</v>
      </c>
      <c r="H21" t="e">
        <f ca="1">EfW!AL29+"Ug1!`/"</f>
        <v>#VALUE!</v>
      </c>
      <c r="I21" t="e">
        <f ca="1">EfW!AM29+"Ug1!`0"</f>
        <v>#VALUE!</v>
      </c>
      <c r="J21" t="e">
        <f ca="1">EfW!AN29+"Ug1!`1"</f>
        <v>#VALUE!</v>
      </c>
      <c r="K21" t="e">
        <f ca="1">EfW!AO29+"Ug1!`2"</f>
        <v>#VALUE!</v>
      </c>
      <c r="L21" t="e">
        <f ca="1">EfW!AP29+"Ug1!`3"</f>
        <v>#VALUE!</v>
      </c>
      <c r="M21" t="e">
        <f ca="1">EfW!AQ29+"Ug1!`4"</f>
        <v>#VALUE!</v>
      </c>
      <c r="N21" t="e">
        <f ca="1">EfW!AR29+"Ug1!`5"</f>
        <v>#VALUE!</v>
      </c>
      <c r="O21" t="e">
        <f ca="1">EfW!AS29+"Ug1!`6"</f>
        <v>#VALUE!</v>
      </c>
      <c r="P21" t="e">
        <f ca="1">EfW!AT29+"Ug1!`7"</f>
        <v>#VALUE!</v>
      </c>
      <c r="Q21" t="e">
        <f ca="1">EfW!AU29+"Ug1!`8"</f>
        <v>#VALUE!</v>
      </c>
      <c r="R21" t="e">
        <f ca="1">EfW!AV29+"Ug1!`9"</f>
        <v>#VALUE!</v>
      </c>
      <c r="S21" t="e">
        <f ca="1">EfW!AW29+"Ug1!`:"</f>
        <v>#VALUE!</v>
      </c>
      <c r="T21" t="e">
        <f ca="1">EfW!AX29+"Ug1!`;"</f>
        <v>#VALUE!</v>
      </c>
      <c r="U21" t="e">
        <f ca="1">EfW!AY29+"Ug1!`&lt;"</f>
        <v>#VALUE!</v>
      </c>
      <c r="V21" t="e">
        <f ca="1">EfW!AZ29+"Ug1!`="</f>
        <v>#VALUE!</v>
      </c>
      <c r="W21" t="e">
        <f ca="1">EfW!BA29+"Ug1!`&gt;"</f>
        <v>#VALUE!</v>
      </c>
      <c r="X21" t="e">
        <f ca="1">EfW!BB29+"Ug1!`?"</f>
        <v>#VALUE!</v>
      </c>
      <c r="Y21" t="e">
        <f ca="1">EfW!BC29+"Ug1!`@"</f>
        <v>#VALUE!</v>
      </c>
      <c r="Z21" t="e">
        <f ca="1">EfW!BD29+"Ug1!`A"</f>
        <v>#VALUE!</v>
      </c>
      <c r="AA21" t="e">
        <f ca="1">EfW!BE29+"Ug1!`B"</f>
        <v>#VALUE!</v>
      </c>
      <c r="AB21" t="e">
        <f ca="1">EfW!BF29+"Ug1!`C"</f>
        <v>#VALUE!</v>
      </c>
      <c r="AC21" t="e">
        <f ca="1">EfW!BG29+"Ug1!`D"</f>
        <v>#VALUE!</v>
      </c>
      <c r="AD21" t="e">
        <f ca="1">EfW!BH29+"Ug1!`E"</f>
        <v>#VALUE!</v>
      </c>
      <c r="AE21" t="e">
        <f ca="1">EfW!BI29+"Ug1!`F"</f>
        <v>#VALUE!</v>
      </c>
      <c r="AF21" t="e">
        <f ca="1">EfW!BJ29+"Ug1!`G"</f>
        <v>#VALUE!</v>
      </c>
      <c r="AG21" t="e">
        <f ca="1">EfW!BK29+"Ug1!`H"</f>
        <v>#VALUE!</v>
      </c>
      <c r="AH21" t="e">
        <f ca="1">EfW!BL29+"Ug1!`I"</f>
        <v>#VALUE!</v>
      </c>
      <c r="AI21" t="e">
        <f ca="1">EfW!BM29+"Ug1!`J"</f>
        <v>#VALUE!</v>
      </c>
      <c r="AJ21" t="e">
        <f ca="1">EfW!BN29+"Ug1!`K"</f>
        <v>#VALUE!</v>
      </c>
      <c r="AK21" t="e">
        <f ca="1">EfW!BO29+"Ug1!`L"</f>
        <v>#VALUE!</v>
      </c>
      <c r="AL21" t="e">
        <f ca="1">EfW!BP29+"Ug1!`M"</f>
        <v>#VALUE!</v>
      </c>
      <c r="AM21" t="e">
        <f ca="1">EfW!BQ29+"Ug1!`N"</f>
        <v>#VALUE!</v>
      </c>
      <c r="AN21" t="e">
        <f ca="1">EfW!BR29+"Ug1!`O"</f>
        <v>#VALUE!</v>
      </c>
      <c r="AO21" t="e">
        <f ca="1">EfW!BS29+"Ug1!`P"</f>
        <v>#VALUE!</v>
      </c>
      <c r="AP21" t="e">
        <f ca="1">EfW!BT29+"Ug1!`Q"</f>
        <v>#VALUE!</v>
      </c>
      <c r="AQ21" t="e">
        <f ca="1">EfW!BU29+"Ug1!`R"</f>
        <v>#VALUE!</v>
      </c>
      <c r="AR21" t="e">
        <f ca="1">EfW!BV29+"Ug1!`S"</f>
        <v>#VALUE!</v>
      </c>
      <c r="AS21" t="e">
        <f ca="1">EfW!BW29+"Ug1!`T"</f>
        <v>#VALUE!</v>
      </c>
      <c r="AT21" t="e">
        <f ca="1">EfW!BX29+"Ug1!`U"</f>
        <v>#VALUE!</v>
      </c>
      <c r="AU21" t="e">
        <f ca="1">EfW!BY29+"Ug1!`V"</f>
        <v>#VALUE!</v>
      </c>
      <c r="AV21" t="e">
        <f ca="1">EfW!E30+"Ug1!`W"</f>
        <v>#VALUE!</v>
      </c>
      <c r="AW21" t="e">
        <f ca="1">EfW!G30+"Ug1!`X"</f>
        <v>#VALUE!</v>
      </c>
      <c r="AX21" t="e">
        <f ca="1">EfW!H30+"Ug1!`Y"</f>
        <v>#VALUE!</v>
      </c>
      <c r="AY21" t="e">
        <f ca="1">EfW!J30+"Ug1!`Z"</f>
        <v>#VALUE!</v>
      </c>
      <c r="AZ21" t="e">
        <f ca="1">EfW!K30+"Ug1!`["</f>
        <v>#VALUE!</v>
      </c>
      <c r="BA21" t="e">
        <f ca="1">EfW!L30+"Ug1!`\"</f>
        <v>#VALUE!</v>
      </c>
      <c r="BB21" t="e">
        <f ca="1">EfW!M30+"Ug1!`]"</f>
        <v>#VALUE!</v>
      </c>
      <c r="BC21" t="e">
        <f ca="1">EfW!N30+"Ug1!`^"</f>
        <v>#VALUE!</v>
      </c>
      <c r="BD21" t="e">
        <f ca="1">EfW!O30+"Ug1!`_"</f>
        <v>#VALUE!</v>
      </c>
      <c r="BE21" t="e">
        <f ca="1">EfW!P30+"Ug1!``"</f>
        <v>#VALUE!</v>
      </c>
      <c r="BF21" t="e">
        <f ca="1">EfW!Q30+"Ug1!`a"</f>
        <v>#VALUE!</v>
      </c>
      <c r="BG21" t="e">
        <f ca="1">EfW!R30+"Ug1!`b"</f>
        <v>#VALUE!</v>
      </c>
      <c r="BH21" t="e">
        <f ca="1">EfW!S30+"Ug1!`c"</f>
        <v>#VALUE!</v>
      </c>
      <c r="BI21" t="e">
        <f ca="1">EfW!T30+"Ug1!`d"</f>
        <v>#VALUE!</v>
      </c>
      <c r="BJ21" t="e">
        <f ca="1">EfW!U30+"Ug1!`e"</f>
        <v>#VALUE!</v>
      </c>
      <c r="BK21" t="e">
        <f ca="1">EfW!V30+"Ug1!`f"</f>
        <v>#VALUE!</v>
      </c>
      <c r="BL21" t="e">
        <f ca="1">EfW!W30+"Ug1!`g"</f>
        <v>#VALUE!</v>
      </c>
      <c r="BM21" t="e">
        <f ca="1">EfW!X30+"Ug1!`h"</f>
        <v>#VALUE!</v>
      </c>
      <c r="BN21" t="e">
        <f ca="1">EfW!Y30+"Ug1!`i"</f>
        <v>#VALUE!</v>
      </c>
      <c r="BO21" t="e">
        <f ca="1">EfW!Z30+"Ug1!`j"</f>
        <v>#VALUE!</v>
      </c>
      <c r="BP21" t="e">
        <f ca="1">EfW!AA30+"Ug1!`k"</f>
        <v>#VALUE!</v>
      </c>
      <c r="BQ21" t="e">
        <f ca="1">EfW!AB30+"Ug1!`l"</f>
        <v>#VALUE!</v>
      </c>
      <c r="BR21" t="e">
        <f ca="1">EfW!AC30+"Ug1!`m"</f>
        <v>#VALUE!</v>
      </c>
      <c r="BS21" t="e">
        <f ca="1">EfW!AD30+"Ug1!`n"</f>
        <v>#VALUE!</v>
      </c>
      <c r="BT21" t="e">
        <f ca="1">EfW!AE30+"Ug1!`o"</f>
        <v>#VALUE!</v>
      </c>
      <c r="BU21" t="e">
        <f ca="1">EfW!AF30+"Ug1!`p"</f>
        <v>#VALUE!</v>
      </c>
      <c r="BV21" t="e">
        <f ca="1">EfW!AG30+"Ug1!`q"</f>
        <v>#VALUE!</v>
      </c>
      <c r="BW21" t="e">
        <f ca="1">EfW!AH30+"Ug1!`r"</f>
        <v>#VALUE!</v>
      </c>
      <c r="BX21" t="e">
        <f ca="1">EfW!AI30+"Ug1!`s"</f>
        <v>#VALUE!</v>
      </c>
      <c r="BY21" t="e">
        <f ca="1">EfW!AJ30+"Ug1!`t"</f>
        <v>#VALUE!</v>
      </c>
      <c r="BZ21" t="e">
        <f ca="1">EfW!AK30+"Ug1!`u"</f>
        <v>#VALUE!</v>
      </c>
      <c r="CA21" t="e">
        <f ca="1">EfW!AL30+"Ug1!`v"</f>
        <v>#VALUE!</v>
      </c>
      <c r="CB21" t="e">
        <f ca="1">EfW!AM30+"Ug1!`w"</f>
        <v>#VALUE!</v>
      </c>
      <c r="CC21" t="e">
        <f ca="1">EfW!AN30+"Ug1!`x"</f>
        <v>#VALUE!</v>
      </c>
      <c r="CD21" t="e">
        <f ca="1">EfW!AO30+"Ug1!`y"</f>
        <v>#VALUE!</v>
      </c>
      <c r="CE21" t="e">
        <f ca="1">EfW!AP30+"Ug1!`z"</f>
        <v>#VALUE!</v>
      </c>
      <c r="CF21" t="e">
        <f ca="1">EfW!AQ30+"Ug1!`{"</f>
        <v>#VALUE!</v>
      </c>
      <c r="CG21" t="e">
        <f ca="1">EfW!AR30+"Ug1!`|"</f>
        <v>#VALUE!</v>
      </c>
      <c r="CH21" t="e">
        <f ca="1">EfW!AS30+"Ug1!`}"</f>
        <v>#VALUE!</v>
      </c>
      <c r="CI21" t="e">
        <f ca="1">EfW!AT30+"Ug1!`~"</f>
        <v>#VALUE!</v>
      </c>
      <c r="CJ21" t="e">
        <f ca="1">EfW!AU30+"Ug1!a#"</f>
        <v>#VALUE!</v>
      </c>
      <c r="CK21" t="e">
        <f ca="1">EfW!AV30+"Ug1!a$"</f>
        <v>#VALUE!</v>
      </c>
      <c r="CL21" t="e">
        <f ca="1">EfW!AW30+"Ug1!a%"</f>
        <v>#VALUE!</v>
      </c>
      <c r="CM21" t="e">
        <f ca="1">EfW!AX30+"Ug1!a&amp;"</f>
        <v>#VALUE!</v>
      </c>
      <c r="CN21" t="e">
        <f ca="1">EfW!AY30+"Ug1!a'"</f>
        <v>#VALUE!</v>
      </c>
      <c r="CO21" t="e">
        <f ca="1">EfW!AZ30+"Ug1!a("</f>
        <v>#VALUE!</v>
      </c>
      <c r="CP21" t="e">
        <f ca="1">EfW!BA30+"Ug1!a)"</f>
        <v>#VALUE!</v>
      </c>
      <c r="CQ21" t="e">
        <f ca="1">EfW!BB30+"Ug1!a."</f>
        <v>#VALUE!</v>
      </c>
      <c r="CR21" t="e">
        <f ca="1">EfW!BC30+"Ug1!a/"</f>
        <v>#VALUE!</v>
      </c>
      <c r="CS21" t="e">
        <f ca="1">EfW!BD30+"Ug1!a0"</f>
        <v>#VALUE!</v>
      </c>
      <c r="CT21" t="e">
        <f ca="1">EfW!BE30+"Ug1!a1"</f>
        <v>#VALUE!</v>
      </c>
      <c r="CU21" t="e">
        <f ca="1">EfW!BF30+"Ug1!a2"</f>
        <v>#VALUE!</v>
      </c>
      <c r="CV21" t="e">
        <f ca="1">EfW!BG30+"Ug1!a3"</f>
        <v>#VALUE!</v>
      </c>
      <c r="CW21" t="e">
        <f ca="1">EfW!BH30+"Ug1!a4"</f>
        <v>#VALUE!</v>
      </c>
      <c r="CX21" t="e">
        <f ca="1">EfW!BI30+"Ug1!a5"</f>
        <v>#VALUE!</v>
      </c>
      <c r="CY21" t="e">
        <f ca="1">EfW!BJ30+"Ug1!a6"</f>
        <v>#VALUE!</v>
      </c>
      <c r="CZ21" t="e">
        <f ca="1">EfW!BK30+"Ug1!a7"</f>
        <v>#VALUE!</v>
      </c>
      <c r="DA21" t="e">
        <f ca="1">EfW!BL30+"Ug1!a8"</f>
        <v>#VALUE!</v>
      </c>
      <c r="DB21" t="e">
        <f ca="1">EfW!BM30+"Ug1!a9"</f>
        <v>#VALUE!</v>
      </c>
      <c r="DC21" t="e">
        <f ca="1">EfW!BN30+"Ug1!a:"</f>
        <v>#VALUE!</v>
      </c>
      <c r="DD21" t="e">
        <f ca="1">EfW!BO30+"Ug1!a;"</f>
        <v>#VALUE!</v>
      </c>
      <c r="DE21" t="e">
        <f ca="1">EfW!BP30+"Ug1!a&lt;"</f>
        <v>#VALUE!</v>
      </c>
      <c r="DF21" t="e">
        <f ca="1">EfW!BQ30+"Ug1!a="</f>
        <v>#VALUE!</v>
      </c>
      <c r="DG21" t="e">
        <f ca="1">EfW!BR30+"Ug1!a&gt;"</f>
        <v>#VALUE!</v>
      </c>
      <c r="DH21" t="e">
        <f ca="1">EfW!BS30+"Ug1!a?"</f>
        <v>#VALUE!</v>
      </c>
      <c r="DI21" t="e">
        <f ca="1">EfW!BT30+"Ug1!a@"</f>
        <v>#VALUE!</v>
      </c>
      <c r="DJ21" t="e">
        <f ca="1">EfW!BU30+"Ug1!aA"</f>
        <v>#VALUE!</v>
      </c>
      <c r="DK21" t="e">
        <f ca="1">EfW!BV30+"Ug1!aB"</f>
        <v>#VALUE!</v>
      </c>
      <c r="DL21" t="e">
        <f ca="1">EfW!BW30+"Ug1!aC"</f>
        <v>#VALUE!</v>
      </c>
      <c r="DM21" t="e">
        <f ca="1">EfW!BX30+"Ug1!aD"</f>
        <v>#VALUE!</v>
      </c>
      <c r="DN21" t="e">
        <f ca="1">EfW!BY30+"Ug1!aE"</f>
        <v>#VALUE!</v>
      </c>
      <c r="DO21" t="e">
        <f ca="1">EfW!E32+"Ug1!aF"</f>
        <v>#VALUE!</v>
      </c>
      <c r="DP21" t="e">
        <f ca="1">EfW!G32+"Ug1!aG"</f>
        <v>#VALUE!</v>
      </c>
      <c r="DQ21" t="e">
        <f ca="1">EfW!J32+"Ug1!aH"</f>
        <v>#VALUE!</v>
      </c>
      <c r="DR21" t="e">
        <f ca="1">EfW!K32+"Ug1!aI"</f>
        <v>#VALUE!</v>
      </c>
      <c r="DS21" t="e">
        <f ca="1">EfW!L32+"Ug1!aJ"</f>
        <v>#VALUE!</v>
      </c>
      <c r="DT21" t="e">
        <f ca="1">EfW!M32+"Ug1!aK"</f>
        <v>#VALUE!</v>
      </c>
      <c r="DU21" t="e">
        <f ca="1">EfW!N32+"Ug1!aL"</f>
        <v>#VALUE!</v>
      </c>
      <c r="DV21" t="e">
        <f ca="1">EfW!O32+"Ug1!aM"</f>
        <v>#VALUE!</v>
      </c>
      <c r="DW21" t="e">
        <f ca="1">EfW!P32+"Ug1!aN"</f>
        <v>#VALUE!</v>
      </c>
      <c r="DX21" t="e">
        <f ca="1">EfW!Q32+"Ug1!aO"</f>
        <v>#VALUE!</v>
      </c>
      <c r="DY21" t="e">
        <f ca="1">EfW!R32+"Ug1!aP"</f>
        <v>#VALUE!</v>
      </c>
      <c r="DZ21" t="e">
        <f ca="1">EfW!S32+"Ug1!aQ"</f>
        <v>#VALUE!</v>
      </c>
      <c r="EA21" t="e">
        <f ca="1">EfW!T32+"Ug1!aR"</f>
        <v>#VALUE!</v>
      </c>
      <c r="EB21" t="e">
        <f ca="1">EfW!U32+"Ug1!aS"</f>
        <v>#VALUE!</v>
      </c>
      <c r="EC21" t="e">
        <f ca="1">EfW!V32+"Ug1!aT"</f>
        <v>#VALUE!</v>
      </c>
      <c r="ED21" t="e">
        <f ca="1">EfW!W32+"Ug1!aU"</f>
        <v>#VALUE!</v>
      </c>
      <c r="EE21" t="e">
        <f ca="1">EfW!X32+"Ug1!aV"</f>
        <v>#VALUE!</v>
      </c>
      <c r="EF21" t="e">
        <f ca="1">EfW!Y32+"Ug1!aW"</f>
        <v>#VALUE!</v>
      </c>
      <c r="EG21" t="e">
        <f ca="1">EfW!Z32+"Ug1!aX"</f>
        <v>#VALUE!</v>
      </c>
      <c r="EH21" t="e">
        <f ca="1">EfW!AA32+"Ug1!aY"</f>
        <v>#VALUE!</v>
      </c>
      <c r="EI21" t="e">
        <f ca="1">EfW!AB32+"Ug1!aZ"</f>
        <v>#VALUE!</v>
      </c>
      <c r="EJ21" t="e">
        <f ca="1">EfW!AC32+"Ug1!a["</f>
        <v>#VALUE!</v>
      </c>
      <c r="EK21" t="e">
        <f ca="1">EfW!AD32+"Ug1!a\"</f>
        <v>#VALUE!</v>
      </c>
      <c r="EL21" t="e">
        <f ca="1">EfW!AE32+"Ug1!a]"</f>
        <v>#VALUE!</v>
      </c>
      <c r="EM21" t="e">
        <f ca="1">EfW!AF32+"Ug1!a^"</f>
        <v>#VALUE!</v>
      </c>
      <c r="EN21" t="e">
        <f ca="1">EfW!AG32+"Ug1!a_"</f>
        <v>#VALUE!</v>
      </c>
      <c r="EO21" t="e">
        <f ca="1">EfW!AH32+"Ug1!a`"</f>
        <v>#VALUE!</v>
      </c>
      <c r="EP21" t="e">
        <f ca="1">EfW!AI32+"Ug1!aa"</f>
        <v>#VALUE!</v>
      </c>
      <c r="EQ21" t="e">
        <f ca="1">EfW!AJ32+"Ug1!ab"</f>
        <v>#VALUE!</v>
      </c>
      <c r="ER21" t="e">
        <f ca="1">EfW!AK32+"Ug1!ac"</f>
        <v>#VALUE!</v>
      </c>
      <c r="ES21" t="e">
        <f ca="1">EfW!AL32+"Ug1!ad"</f>
        <v>#VALUE!</v>
      </c>
      <c r="ET21" t="e">
        <f ca="1">EfW!AM32+"Ug1!ae"</f>
        <v>#VALUE!</v>
      </c>
      <c r="EU21" t="e">
        <f ca="1">EfW!AN32+"Ug1!af"</f>
        <v>#VALUE!</v>
      </c>
      <c r="EV21" t="e">
        <f ca="1">EfW!AO32+"Ug1!ag"</f>
        <v>#VALUE!</v>
      </c>
      <c r="EW21" t="e">
        <f ca="1">EfW!AP32+"Ug1!ah"</f>
        <v>#VALUE!</v>
      </c>
      <c r="EX21" t="e">
        <f ca="1">EfW!AQ32+"Ug1!ai"</f>
        <v>#VALUE!</v>
      </c>
      <c r="EY21" t="e">
        <f ca="1">EfW!AR32+"Ug1!aj"</f>
        <v>#VALUE!</v>
      </c>
      <c r="EZ21" t="e">
        <f ca="1">EfW!AS32+"Ug1!ak"</f>
        <v>#VALUE!</v>
      </c>
      <c r="FA21" t="e">
        <f ca="1">EfW!AT32+"Ug1!al"</f>
        <v>#VALUE!</v>
      </c>
      <c r="FB21" t="e">
        <f ca="1">EfW!AU32+"Ug1!am"</f>
        <v>#VALUE!</v>
      </c>
      <c r="FC21" t="e">
        <f ca="1">EfW!AV32+"Ug1!an"</f>
        <v>#VALUE!</v>
      </c>
      <c r="FD21" t="e">
        <f ca="1">EfW!AW32+"Ug1!ao"</f>
        <v>#VALUE!</v>
      </c>
      <c r="FE21" t="e">
        <f ca="1">EfW!AX32+"Ug1!ap"</f>
        <v>#VALUE!</v>
      </c>
      <c r="FF21" t="e">
        <f ca="1">EfW!AY32+"Ug1!aq"</f>
        <v>#VALUE!</v>
      </c>
      <c r="FG21" t="e">
        <f ca="1">EfW!AZ32+"Ug1!ar"</f>
        <v>#VALUE!</v>
      </c>
      <c r="FH21" t="e">
        <f ca="1">EfW!BA32+"Ug1!as"</f>
        <v>#VALUE!</v>
      </c>
      <c r="FI21" t="e">
        <f ca="1">EfW!BB32+"Ug1!at"</f>
        <v>#VALUE!</v>
      </c>
      <c r="FJ21" t="e">
        <f ca="1">EfW!BC32+"Ug1!au"</f>
        <v>#VALUE!</v>
      </c>
      <c r="FK21" t="e">
        <f ca="1">EfW!BD32+"Ug1!av"</f>
        <v>#VALUE!</v>
      </c>
      <c r="FL21" t="e">
        <f ca="1">EfW!BE32+"Ug1!aw"</f>
        <v>#VALUE!</v>
      </c>
      <c r="FM21" t="e">
        <f ca="1">EfW!BF32+"Ug1!ax"</f>
        <v>#VALUE!</v>
      </c>
      <c r="FN21" t="e">
        <f ca="1">EfW!BG32+"Ug1!ay"</f>
        <v>#VALUE!</v>
      </c>
      <c r="FO21" t="e">
        <f ca="1">EfW!BH32+"Ug1!az"</f>
        <v>#VALUE!</v>
      </c>
      <c r="FP21" t="e">
        <f ca="1">EfW!BI32+"Ug1!a{"</f>
        <v>#VALUE!</v>
      </c>
      <c r="FQ21" t="e">
        <f ca="1">EfW!BJ32+"Ug1!a|"</f>
        <v>#VALUE!</v>
      </c>
      <c r="FR21" t="e">
        <f ca="1">EfW!BK32+"Ug1!a}"</f>
        <v>#VALUE!</v>
      </c>
      <c r="FS21" t="e">
        <f ca="1">EfW!BL32+"Ug1!a~"</f>
        <v>#VALUE!</v>
      </c>
      <c r="FT21" t="e">
        <f ca="1">EfW!BM32+"Ug1!b#"</f>
        <v>#VALUE!</v>
      </c>
      <c r="FU21" t="e">
        <f ca="1">EfW!BN32+"Ug1!b$"</f>
        <v>#VALUE!</v>
      </c>
      <c r="FV21" t="e">
        <f ca="1">EfW!BO32+"Ug1!b%"</f>
        <v>#VALUE!</v>
      </c>
      <c r="FW21" t="e">
        <f ca="1">EfW!BP32+"Ug1!b&amp;"</f>
        <v>#VALUE!</v>
      </c>
      <c r="FX21" t="e">
        <f ca="1">EfW!BQ32+"Ug1!b'"</f>
        <v>#VALUE!</v>
      </c>
      <c r="FY21" t="e">
        <f ca="1">EfW!BR32+"Ug1!b("</f>
        <v>#VALUE!</v>
      </c>
      <c r="FZ21" t="e">
        <f ca="1">EfW!BS32+"Ug1!b)"</f>
        <v>#VALUE!</v>
      </c>
      <c r="GA21" t="e">
        <f ca="1">EfW!BT32+"Ug1!b."</f>
        <v>#VALUE!</v>
      </c>
      <c r="GB21" t="e">
        <f ca="1">EfW!BU32+"Ug1!b/"</f>
        <v>#VALUE!</v>
      </c>
      <c r="GC21" t="e">
        <f ca="1">EfW!BV32+"Ug1!b0"</f>
        <v>#VALUE!</v>
      </c>
      <c r="GD21" t="e">
        <f ca="1">EfW!BW32+"Ug1!b1"</f>
        <v>#VALUE!</v>
      </c>
      <c r="GE21" t="e">
        <f ca="1">EfW!BX32+"Ug1!b2"</f>
        <v>#VALUE!</v>
      </c>
      <c r="GF21" t="e">
        <f ca="1">EfW!BY32+"Ug1!b3"</f>
        <v>#VALUE!</v>
      </c>
      <c r="GG21" t="e">
        <f ca="1">EfW!BZ32+"Ug1!b4"</f>
        <v>#VALUE!</v>
      </c>
      <c r="GH21" t="e">
        <f ca="1">EfW!CA32+"Ug1!b5"</f>
        <v>#VALUE!</v>
      </c>
      <c r="GI21" t="e">
        <f ca="1">EfW!CB32+"Ug1!b6"</f>
        <v>#VALUE!</v>
      </c>
      <c r="GJ21" t="e">
        <f ca="1">EfW!CC32+"Ug1!b7"</f>
        <v>#VALUE!</v>
      </c>
      <c r="GK21" t="e">
        <f ca="1">EfW!E33+"Ug1!b8"</f>
        <v>#VALUE!</v>
      </c>
      <c r="GL21" t="e">
        <f ca="1">EfW!F33+"Ug1!b9"</f>
        <v>#VALUE!</v>
      </c>
      <c r="GM21" t="e">
        <f ca="1">EfW!G33+"Ug1!b:"</f>
        <v>#VALUE!</v>
      </c>
      <c r="GN21" t="e">
        <f ca="1">EfW!H33+"Ug1!b;"</f>
        <v>#VALUE!</v>
      </c>
      <c r="GO21" t="e">
        <f ca="1">EfW!I33+"Ug1!b&lt;"</f>
        <v>#VALUE!</v>
      </c>
      <c r="GP21" t="e">
        <f ca="1">EfW!J33+"Ug1!b="</f>
        <v>#VALUE!</v>
      </c>
      <c r="GQ21" t="e">
        <f ca="1">EfW!K33+"Ug1!b&gt;"</f>
        <v>#VALUE!</v>
      </c>
      <c r="GR21" t="e">
        <f ca="1">EfW!L33+"Ug1!b?"</f>
        <v>#VALUE!</v>
      </c>
      <c r="GS21" t="e">
        <f ca="1">EfW!M33+"Ug1!b@"</f>
        <v>#VALUE!</v>
      </c>
      <c r="GT21" t="e">
        <f ca="1">EfW!N33+"Ug1!bA"</f>
        <v>#VALUE!</v>
      </c>
      <c r="GU21" t="e">
        <f ca="1">EfW!O33+"Ug1!bB"</f>
        <v>#VALUE!</v>
      </c>
      <c r="GV21" t="e">
        <f ca="1">EfW!P33+"Ug1!bC"</f>
        <v>#VALUE!</v>
      </c>
      <c r="GW21" t="e">
        <f ca="1">EfW!Q33+"Ug1!bD"</f>
        <v>#VALUE!</v>
      </c>
      <c r="GX21" t="e">
        <f ca="1">EfW!R33+"Ug1!bE"</f>
        <v>#VALUE!</v>
      </c>
      <c r="GY21" t="e">
        <f ca="1">EfW!S33+"Ug1!bF"</f>
        <v>#VALUE!</v>
      </c>
      <c r="GZ21" t="e">
        <f ca="1">EfW!T33+"Ug1!bG"</f>
        <v>#VALUE!</v>
      </c>
      <c r="HA21" t="e">
        <f ca="1">EfW!U33+"Ug1!bH"</f>
        <v>#VALUE!</v>
      </c>
      <c r="HB21" t="e">
        <f ca="1">EfW!V33+"Ug1!bI"</f>
        <v>#VALUE!</v>
      </c>
      <c r="HC21" t="e">
        <f ca="1">EfW!W33+"Ug1!bJ"</f>
        <v>#VALUE!</v>
      </c>
      <c r="HD21" t="e">
        <f ca="1">EfW!X33+"Ug1!bK"</f>
        <v>#VALUE!</v>
      </c>
      <c r="HE21" t="e">
        <f ca="1">EfW!Y33+"Ug1!bL"</f>
        <v>#VALUE!</v>
      </c>
      <c r="HF21" t="e">
        <f ca="1">EfW!Z33+"Ug1!bM"</f>
        <v>#VALUE!</v>
      </c>
      <c r="HG21" t="e">
        <f ca="1">EfW!AA33+"Ug1!bN"</f>
        <v>#VALUE!</v>
      </c>
      <c r="HH21" t="e">
        <f ca="1">EfW!AB33+"Ug1!bO"</f>
        <v>#VALUE!</v>
      </c>
      <c r="HI21" t="e">
        <f ca="1">EfW!AC33+"Ug1!bP"</f>
        <v>#VALUE!</v>
      </c>
      <c r="HJ21" t="e">
        <f ca="1">EfW!AD33+"Ug1!bQ"</f>
        <v>#VALUE!</v>
      </c>
      <c r="HK21" t="e">
        <f ca="1">EfW!AE33+"Ug1!bR"</f>
        <v>#VALUE!</v>
      </c>
      <c r="HL21" t="e">
        <f ca="1">EfW!AF33+"Ug1!bS"</f>
        <v>#VALUE!</v>
      </c>
      <c r="HM21" t="e">
        <f ca="1">EfW!AG33+"Ug1!bT"</f>
        <v>#VALUE!</v>
      </c>
      <c r="HN21" t="e">
        <f ca="1">EfW!AH33+"Ug1!bU"</f>
        <v>#VALUE!</v>
      </c>
      <c r="HO21" t="e">
        <f ca="1">EfW!AI33+"Ug1!bV"</f>
        <v>#VALUE!</v>
      </c>
      <c r="HP21" t="e">
        <f ca="1">EfW!AJ33+"Ug1!bW"</f>
        <v>#VALUE!</v>
      </c>
      <c r="HQ21" t="e">
        <f ca="1">EfW!AK33+"Ug1!bX"</f>
        <v>#VALUE!</v>
      </c>
      <c r="HR21" t="e">
        <f ca="1">EfW!AL33+"Ug1!bY"</f>
        <v>#VALUE!</v>
      </c>
      <c r="HS21" t="e">
        <f ca="1">EfW!AM33+"Ug1!bZ"</f>
        <v>#VALUE!</v>
      </c>
      <c r="HT21" t="e">
        <f ca="1">EfW!AN33+"Ug1!b["</f>
        <v>#VALUE!</v>
      </c>
      <c r="HU21" t="e">
        <f ca="1">EfW!AO33+"Ug1!b\"</f>
        <v>#VALUE!</v>
      </c>
      <c r="HV21" t="e">
        <f ca="1">EfW!AP33+"Ug1!b]"</f>
        <v>#VALUE!</v>
      </c>
      <c r="HW21" t="e">
        <f ca="1">EfW!AQ33+"Ug1!b^"</f>
        <v>#VALUE!</v>
      </c>
      <c r="HX21" t="e">
        <f ca="1">EfW!AR33+"Ug1!b_"</f>
        <v>#VALUE!</v>
      </c>
      <c r="HY21" t="e">
        <f ca="1">EfW!AS33+"Ug1!b`"</f>
        <v>#VALUE!</v>
      </c>
      <c r="HZ21" t="e">
        <f ca="1">EfW!AT33+"Ug1!ba"</f>
        <v>#VALUE!</v>
      </c>
      <c r="IA21" t="e">
        <f ca="1">EfW!AU33+"Ug1!bb"</f>
        <v>#VALUE!</v>
      </c>
      <c r="IB21" t="e">
        <f ca="1">EfW!AV33+"Ug1!bc"</f>
        <v>#VALUE!</v>
      </c>
      <c r="IC21" t="e">
        <f ca="1">EfW!AW33+"Ug1!bd"</f>
        <v>#VALUE!</v>
      </c>
      <c r="ID21" t="e">
        <f ca="1">EfW!AX33+"Ug1!be"</f>
        <v>#VALUE!</v>
      </c>
      <c r="IE21" t="e">
        <f ca="1">EfW!AY33+"Ug1!bf"</f>
        <v>#VALUE!</v>
      </c>
      <c r="IF21" t="e">
        <f ca="1">EfW!AZ33+"Ug1!bg"</f>
        <v>#VALUE!</v>
      </c>
      <c r="IG21" t="e">
        <f ca="1">EfW!BA33+"Ug1!bh"</f>
        <v>#VALUE!</v>
      </c>
      <c r="IH21" t="e">
        <f ca="1">EfW!BB33+"Ug1!bi"</f>
        <v>#VALUE!</v>
      </c>
      <c r="II21" t="e">
        <f ca="1">EfW!BC33+"Ug1!bj"</f>
        <v>#VALUE!</v>
      </c>
      <c r="IJ21" t="e">
        <f ca="1">EfW!BD33+"Ug1!bk"</f>
        <v>#VALUE!</v>
      </c>
      <c r="IK21" t="e">
        <f ca="1">EfW!BE33+"Ug1!bl"</f>
        <v>#VALUE!</v>
      </c>
      <c r="IL21" t="e">
        <f ca="1">EfW!BF33+"Ug1!bm"</f>
        <v>#VALUE!</v>
      </c>
      <c r="IM21" t="e">
        <f ca="1">EfW!BG33+"Ug1!bn"</f>
        <v>#VALUE!</v>
      </c>
      <c r="IN21" t="e">
        <f ca="1">EfW!BH33+"Ug1!bo"</f>
        <v>#VALUE!</v>
      </c>
      <c r="IO21" t="e">
        <f ca="1">EfW!BI33+"Ug1!bp"</f>
        <v>#VALUE!</v>
      </c>
      <c r="IP21" t="e">
        <f ca="1">EfW!BJ33+"Ug1!bq"</f>
        <v>#VALUE!</v>
      </c>
      <c r="IQ21" t="e">
        <f ca="1">EfW!BK33+"Ug1!br"</f>
        <v>#VALUE!</v>
      </c>
      <c r="IR21" t="e">
        <f ca="1">EfW!BL33+"Ug1!bs"</f>
        <v>#VALUE!</v>
      </c>
      <c r="IS21" t="e">
        <f ca="1">EfW!BM33+"Ug1!bt"</f>
        <v>#VALUE!</v>
      </c>
      <c r="IT21" t="e">
        <f ca="1">EfW!BN33+"Ug1!bu"</f>
        <v>#VALUE!</v>
      </c>
      <c r="IU21" t="e">
        <f ca="1">EfW!BO33+"Ug1!bv"</f>
        <v>#VALUE!</v>
      </c>
      <c r="IV21" t="e">
        <f ca="1">EfW!BP33+"Ug1!bw"</f>
        <v>#VALUE!</v>
      </c>
    </row>
    <row r="22" spans="6:256" x14ac:dyDescent="0.2">
      <c r="F22" t="e">
        <f ca="1">EfW!BQ33+"Ug1!bx"</f>
        <v>#VALUE!</v>
      </c>
      <c r="G22" t="e">
        <f ca="1">EfW!BR33+"Ug1!by"</f>
        <v>#VALUE!</v>
      </c>
      <c r="H22" t="e">
        <f ca="1">EfW!BS33+"Ug1!bz"</f>
        <v>#VALUE!</v>
      </c>
      <c r="I22" t="e">
        <f ca="1">EfW!BT33+"Ug1!b{"</f>
        <v>#VALUE!</v>
      </c>
      <c r="J22" t="e">
        <f ca="1">EfW!BU33+"Ug1!b|"</f>
        <v>#VALUE!</v>
      </c>
      <c r="K22" t="e">
        <f ca="1">EfW!BV33+"Ug1!b}"</f>
        <v>#VALUE!</v>
      </c>
      <c r="L22" t="e">
        <f ca="1">EfW!BW33+"Ug1!b~"</f>
        <v>#VALUE!</v>
      </c>
      <c r="M22" t="e">
        <f ca="1">EfW!BX33+"Ug1!c#"</f>
        <v>#VALUE!</v>
      </c>
      <c r="N22" t="e">
        <f ca="1">EfW!BY33+"Ug1!c$"</f>
        <v>#VALUE!</v>
      </c>
      <c r="O22" t="e">
        <f ca="1">EfW!A34+"Ug1!c%"</f>
        <v>#VALUE!</v>
      </c>
      <c r="P22" t="e">
        <f ca="1">EfW!B34+"Ug1!c&amp;"</f>
        <v>#VALUE!</v>
      </c>
      <c r="Q22" t="e">
        <f ca="1">EfW!C34+"Ug1!c'"</f>
        <v>#VALUE!</v>
      </c>
      <c r="R22" t="e">
        <f ca="1">EfW!D34+"Ug1!c("</f>
        <v>#VALUE!</v>
      </c>
      <c r="S22" t="e">
        <f ca="1">EfW!E34+"Ug1!c)"</f>
        <v>#VALUE!</v>
      </c>
      <c r="T22" t="e">
        <f ca="1">EfW!F34+"Ug1!c."</f>
        <v>#VALUE!</v>
      </c>
      <c r="U22" t="e">
        <f ca="1">EfW!G34+"Ug1!c/"</f>
        <v>#VALUE!</v>
      </c>
      <c r="V22" t="e">
        <f ca="1">EfW!H34+"Ug1!c0"</f>
        <v>#VALUE!</v>
      </c>
      <c r="W22" t="e">
        <f ca="1">EfW!I34+"Ug1!c1"</f>
        <v>#VALUE!</v>
      </c>
      <c r="X22" t="e">
        <f ca="1">EfW!J34+"Ug1!c2"</f>
        <v>#VALUE!</v>
      </c>
      <c r="Y22" t="e">
        <f ca="1">EfW!K34+"Ug1!c3"</f>
        <v>#VALUE!</v>
      </c>
      <c r="Z22" t="e">
        <f ca="1">EfW!L34+"Ug1!c4"</f>
        <v>#VALUE!</v>
      </c>
      <c r="AA22" t="e">
        <f ca="1">EfW!M34+"Ug1!c5"</f>
        <v>#VALUE!</v>
      </c>
      <c r="AB22" t="e">
        <f ca="1">EfW!N34+"Ug1!c6"</f>
        <v>#VALUE!</v>
      </c>
      <c r="AC22" t="e">
        <f ca="1">EfW!O34+"Ug1!c7"</f>
        <v>#VALUE!</v>
      </c>
      <c r="AD22" t="e">
        <f ca="1">EfW!P34+"Ug1!c8"</f>
        <v>#VALUE!</v>
      </c>
      <c r="AE22" t="e">
        <f ca="1">EfW!Q34+"Ug1!c9"</f>
        <v>#VALUE!</v>
      </c>
      <c r="AF22" t="e">
        <f ca="1">EfW!R34+"Ug1!c:"</f>
        <v>#VALUE!</v>
      </c>
      <c r="AG22" t="e">
        <f ca="1">EfW!S34+"Ug1!c;"</f>
        <v>#VALUE!</v>
      </c>
      <c r="AH22" t="e">
        <f ca="1">EfW!T34+"Ug1!c&lt;"</f>
        <v>#VALUE!</v>
      </c>
      <c r="AI22" t="e">
        <f ca="1">EfW!U34+"Ug1!c="</f>
        <v>#VALUE!</v>
      </c>
      <c r="AJ22" t="e">
        <f ca="1">EfW!V34+"Ug1!c&gt;"</f>
        <v>#VALUE!</v>
      </c>
      <c r="AK22" t="e">
        <f ca="1">EfW!W34+"Ug1!c?"</f>
        <v>#VALUE!</v>
      </c>
      <c r="AL22" t="e">
        <f ca="1">EfW!X34+"Ug1!c@"</f>
        <v>#VALUE!</v>
      </c>
      <c r="AM22" t="e">
        <f ca="1">EfW!Y34+"Ug1!cA"</f>
        <v>#VALUE!</v>
      </c>
      <c r="AN22" t="e">
        <f ca="1">EfW!Z34+"Ug1!cB"</f>
        <v>#VALUE!</v>
      </c>
      <c r="AO22" t="e">
        <f ca="1">EfW!AA34+"Ug1!cC"</f>
        <v>#VALUE!</v>
      </c>
      <c r="AP22" t="e">
        <f ca="1">EfW!AB34+"Ug1!cD"</f>
        <v>#VALUE!</v>
      </c>
      <c r="AQ22" t="e">
        <f ca="1">EfW!AC34+"Ug1!cE"</f>
        <v>#VALUE!</v>
      </c>
      <c r="AR22" t="e">
        <f ca="1">EfW!AD34+"Ug1!cF"</f>
        <v>#VALUE!</v>
      </c>
      <c r="AS22" t="e">
        <f ca="1">EfW!AE34+"Ug1!cG"</f>
        <v>#VALUE!</v>
      </c>
      <c r="AT22" t="e">
        <f ca="1">EfW!AF34+"Ug1!cH"</f>
        <v>#VALUE!</v>
      </c>
      <c r="AU22" t="e">
        <f ca="1">EfW!AG34+"Ug1!cI"</f>
        <v>#VALUE!</v>
      </c>
      <c r="AV22" t="e">
        <f ca="1">EfW!AH34+"Ug1!cJ"</f>
        <v>#VALUE!</v>
      </c>
      <c r="AW22" t="e">
        <f ca="1">EfW!AI34+"Ug1!cK"</f>
        <v>#VALUE!</v>
      </c>
      <c r="AX22" t="e">
        <f ca="1">EfW!AJ34+"Ug1!cL"</f>
        <v>#VALUE!</v>
      </c>
      <c r="AY22" t="e">
        <f ca="1">EfW!AK34+"Ug1!cM"</f>
        <v>#VALUE!</v>
      </c>
      <c r="AZ22" t="e">
        <f ca="1">EfW!AL34+"Ug1!cN"</f>
        <v>#VALUE!</v>
      </c>
      <c r="BA22" t="e">
        <f ca="1">EfW!AM34+"Ug1!cO"</f>
        <v>#VALUE!</v>
      </c>
      <c r="BB22" t="e">
        <f ca="1">EfW!AN34+"Ug1!cP"</f>
        <v>#VALUE!</v>
      </c>
      <c r="BC22" t="e">
        <f ca="1">EfW!AO34+"Ug1!cQ"</f>
        <v>#VALUE!</v>
      </c>
      <c r="BD22" t="e">
        <f ca="1">EfW!AP34+"Ug1!cR"</f>
        <v>#VALUE!</v>
      </c>
      <c r="BE22" t="e">
        <f ca="1">EfW!AQ34+"Ug1!cS"</f>
        <v>#VALUE!</v>
      </c>
      <c r="BF22" t="e">
        <f ca="1">EfW!AR34+"Ug1!cT"</f>
        <v>#VALUE!</v>
      </c>
      <c r="BG22" t="e">
        <f ca="1">EfW!AS34+"Ug1!cU"</f>
        <v>#VALUE!</v>
      </c>
      <c r="BH22" t="e">
        <f ca="1">EfW!AT34+"Ug1!cV"</f>
        <v>#VALUE!</v>
      </c>
      <c r="BI22" t="e">
        <f ca="1">EfW!AU34+"Ug1!cW"</f>
        <v>#VALUE!</v>
      </c>
      <c r="BJ22" t="e">
        <f ca="1">EfW!AV34+"Ug1!cX"</f>
        <v>#VALUE!</v>
      </c>
      <c r="BK22" t="e">
        <f ca="1">EfW!AW34+"Ug1!cY"</f>
        <v>#VALUE!</v>
      </c>
      <c r="BL22" t="e">
        <f ca="1">EfW!AX34+"Ug1!cZ"</f>
        <v>#VALUE!</v>
      </c>
      <c r="BM22" t="e">
        <f ca="1">EfW!AY34+"Ug1!c["</f>
        <v>#VALUE!</v>
      </c>
      <c r="BN22" t="e">
        <f ca="1">EfW!AZ34+"Ug1!c\"</f>
        <v>#VALUE!</v>
      </c>
      <c r="BO22" t="e">
        <f ca="1">EfW!BA34+"Ug1!c]"</f>
        <v>#VALUE!</v>
      </c>
      <c r="BP22" t="e">
        <f ca="1">EfW!BB34+"Ug1!c^"</f>
        <v>#VALUE!</v>
      </c>
      <c r="BQ22" t="e">
        <f ca="1">EfW!BC34+"Ug1!c_"</f>
        <v>#VALUE!</v>
      </c>
      <c r="BR22" t="e">
        <f ca="1">EfW!BD34+"Ug1!c`"</f>
        <v>#VALUE!</v>
      </c>
      <c r="BS22" t="e">
        <f ca="1">EfW!BE34+"Ug1!ca"</f>
        <v>#VALUE!</v>
      </c>
      <c r="BT22" t="e">
        <f ca="1">EfW!BF34+"Ug1!cb"</f>
        <v>#VALUE!</v>
      </c>
      <c r="BU22" t="e">
        <f ca="1">EfW!BG34+"Ug1!cc"</f>
        <v>#VALUE!</v>
      </c>
      <c r="BV22" t="e">
        <f ca="1">EfW!BH34+"Ug1!cd"</f>
        <v>#VALUE!</v>
      </c>
      <c r="BW22" t="e">
        <f ca="1">EfW!BI34+"Ug1!ce"</f>
        <v>#VALUE!</v>
      </c>
      <c r="BX22" t="e">
        <f ca="1">EfW!BJ34+"Ug1!cf"</f>
        <v>#VALUE!</v>
      </c>
      <c r="BY22" t="e">
        <f ca="1">EfW!BK34+"Ug1!cg"</f>
        <v>#VALUE!</v>
      </c>
      <c r="BZ22" t="e">
        <f ca="1">EfW!BL34+"Ug1!ch"</f>
        <v>#VALUE!</v>
      </c>
      <c r="CA22" t="e">
        <f ca="1">EfW!BM34+"Ug1!ci"</f>
        <v>#VALUE!</v>
      </c>
      <c r="CB22" t="e">
        <f ca="1">EfW!BN34+"Ug1!cj"</f>
        <v>#VALUE!</v>
      </c>
      <c r="CC22" t="e">
        <f ca="1">EfW!BO34+"Ug1!ck"</f>
        <v>#VALUE!</v>
      </c>
      <c r="CD22" t="e">
        <f ca="1">EfW!BP34+"Ug1!cl"</f>
        <v>#VALUE!</v>
      </c>
      <c r="CE22" t="e">
        <f ca="1">EfW!BQ34+"Ug1!cm"</f>
        <v>#VALUE!</v>
      </c>
      <c r="CF22" t="e">
        <f ca="1">EfW!BR34+"Ug1!cn"</f>
        <v>#VALUE!</v>
      </c>
      <c r="CG22" t="e">
        <f ca="1">EfW!BS34+"Ug1!co"</f>
        <v>#VALUE!</v>
      </c>
      <c r="CH22" t="e">
        <f ca="1">EfW!BT34+"Ug1!cp"</f>
        <v>#VALUE!</v>
      </c>
      <c r="CI22" t="e">
        <f ca="1">EfW!BU34+"Ug1!cq"</f>
        <v>#VALUE!</v>
      </c>
      <c r="CJ22" t="e">
        <f ca="1">EfW!BV34+"Ug1!cr"</f>
        <v>#VALUE!</v>
      </c>
      <c r="CK22" t="e">
        <f ca="1">EfW!BW34+"Ug1!cs"</f>
        <v>#VALUE!</v>
      </c>
      <c r="CL22" t="e">
        <f ca="1">EfW!BX34+"Ug1!ct"</f>
        <v>#VALUE!</v>
      </c>
      <c r="CM22" t="e">
        <f ca="1">EfW!BY34+"Ug1!cu"</f>
        <v>#VALUE!</v>
      </c>
      <c r="CN22" t="e">
        <f ca="1">EfW!E35+"Ug1!cv"</f>
        <v>#VALUE!</v>
      </c>
      <c r="CO22" t="e">
        <f ca="1">EfW!G35+"Ug1!cw"</f>
        <v>#VALUE!</v>
      </c>
      <c r="CP22" t="e">
        <f ca="1">EfW!H35+"Ug1!cx"</f>
        <v>#VALUE!</v>
      </c>
      <c r="CQ22" t="e">
        <f ca="1">EfW!J35+"Ug1!cy"</f>
        <v>#VALUE!</v>
      </c>
      <c r="CR22" t="e">
        <f ca="1">EfW!K35+"Ug1!cz"</f>
        <v>#VALUE!</v>
      </c>
      <c r="CS22" t="e">
        <f ca="1">EfW!L35+"Ug1!c{"</f>
        <v>#VALUE!</v>
      </c>
      <c r="CT22" t="e">
        <f ca="1">EfW!M35+"Ug1!c|"</f>
        <v>#VALUE!</v>
      </c>
      <c r="CU22" t="e">
        <f ca="1">EfW!N35+"Ug1!c}"</f>
        <v>#VALUE!</v>
      </c>
      <c r="CV22" t="e">
        <f ca="1">EfW!O35+"Ug1!c~"</f>
        <v>#VALUE!</v>
      </c>
      <c r="CW22" t="e">
        <f ca="1">EfW!P35+"Ug1!d#"</f>
        <v>#VALUE!</v>
      </c>
      <c r="CX22" t="e">
        <f ca="1">EfW!Q35+"Ug1!d$"</f>
        <v>#VALUE!</v>
      </c>
      <c r="CY22" t="e">
        <f ca="1">EfW!R35+"Ug1!d%"</f>
        <v>#VALUE!</v>
      </c>
      <c r="CZ22" t="e">
        <f ca="1">EfW!S35+"Ug1!d&amp;"</f>
        <v>#VALUE!</v>
      </c>
      <c r="DA22" t="e">
        <f ca="1">EfW!T35+"Ug1!d'"</f>
        <v>#VALUE!</v>
      </c>
      <c r="DB22" t="e">
        <f ca="1">EfW!U35+"Ug1!d("</f>
        <v>#VALUE!</v>
      </c>
      <c r="DC22" t="e">
        <f ca="1">EfW!V35+"Ug1!d)"</f>
        <v>#VALUE!</v>
      </c>
      <c r="DD22" t="e">
        <f ca="1">EfW!W35+"Ug1!d."</f>
        <v>#VALUE!</v>
      </c>
      <c r="DE22" t="e">
        <f ca="1">EfW!X35+"Ug1!d/"</f>
        <v>#VALUE!</v>
      </c>
      <c r="DF22" t="e">
        <f ca="1">EfW!Y35+"Ug1!d0"</f>
        <v>#VALUE!</v>
      </c>
      <c r="DG22" t="e">
        <f ca="1">EfW!Z35+"Ug1!d1"</f>
        <v>#VALUE!</v>
      </c>
      <c r="DH22" t="e">
        <f ca="1">EfW!AA35+"Ug1!d2"</f>
        <v>#VALUE!</v>
      </c>
      <c r="DI22" t="e">
        <f ca="1">EfW!AB35+"Ug1!d3"</f>
        <v>#VALUE!</v>
      </c>
      <c r="DJ22" t="e">
        <f ca="1">EfW!AC35+"Ug1!d4"</f>
        <v>#VALUE!</v>
      </c>
      <c r="DK22" t="e">
        <f ca="1">EfW!AD35+"Ug1!d5"</f>
        <v>#VALUE!</v>
      </c>
      <c r="DL22" t="e">
        <f ca="1">EfW!AE35+"Ug1!d6"</f>
        <v>#VALUE!</v>
      </c>
      <c r="DM22" t="e">
        <f ca="1">EfW!AF35+"Ug1!d7"</f>
        <v>#VALUE!</v>
      </c>
      <c r="DN22" t="e">
        <f ca="1">EfW!AG35+"Ug1!d8"</f>
        <v>#VALUE!</v>
      </c>
      <c r="DO22" t="e">
        <f ca="1">EfW!AH35+"Ug1!d9"</f>
        <v>#VALUE!</v>
      </c>
      <c r="DP22" t="e">
        <f ca="1">EfW!AI35+"Ug1!d:"</f>
        <v>#VALUE!</v>
      </c>
      <c r="DQ22" t="e">
        <f ca="1">EfW!AJ35+"Ug1!d;"</f>
        <v>#VALUE!</v>
      </c>
      <c r="DR22" t="e">
        <f ca="1">EfW!AK35+"Ug1!d&lt;"</f>
        <v>#VALUE!</v>
      </c>
      <c r="DS22" t="e">
        <f ca="1">EfW!AL35+"Ug1!d="</f>
        <v>#VALUE!</v>
      </c>
      <c r="DT22" t="e">
        <f ca="1">EfW!AM35+"Ug1!d&gt;"</f>
        <v>#VALUE!</v>
      </c>
      <c r="DU22" t="e">
        <f ca="1">EfW!AN35+"Ug1!d?"</f>
        <v>#VALUE!</v>
      </c>
      <c r="DV22" t="e">
        <f ca="1">EfW!AO35+"Ug1!d@"</f>
        <v>#VALUE!</v>
      </c>
      <c r="DW22" t="e">
        <f ca="1">EfW!AP35+"Ug1!dA"</f>
        <v>#VALUE!</v>
      </c>
      <c r="DX22" t="e">
        <f ca="1">EfW!AQ35+"Ug1!dB"</f>
        <v>#VALUE!</v>
      </c>
      <c r="DY22" t="e">
        <f ca="1">EfW!AR35+"Ug1!dC"</f>
        <v>#VALUE!</v>
      </c>
      <c r="DZ22" t="e">
        <f ca="1">EfW!AS35+"Ug1!dD"</f>
        <v>#VALUE!</v>
      </c>
      <c r="EA22" t="e">
        <f ca="1">EfW!AT35+"Ug1!dE"</f>
        <v>#VALUE!</v>
      </c>
      <c r="EB22" t="e">
        <f ca="1">EfW!AU35+"Ug1!dF"</f>
        <v>#VALUE!</v>
      </c>
      <c r="EC22" t="e">
        <f ca="1">EfW!AV35+"Ug1!dG"</f>
        <v>#VALUE!</v>
      </c>
      <c r="ED22" t="e">
        <f ca="1">EfW!AW35+"Ug1!dH"</f>
        <v>#VALUE!</v>
      </c>
      <c r="EE22" t="e">
        <f ca="1">EfW!AX35+"Ug1!dI"</f>
        <v>#VALUE!</v>
      </c>
      <c r="EF22" t="e">
        <f ca="1">EfW!AY35+"Ug1!dJ"</f>
        <v>#VALUE!</v>
      </c>
      <c r="EG22" t="e">
        <f ca="1">EfW!AZ35+"Ug1!dK"</f>
        <v>#VALUE!</v>
      </c>
      <c r="EH22" t="e">
        <f ca="1">EfW!BA35+"Ug1!dL"</f>
        <v>#VALUE!</v>
      </c>
      <c r="EI22" t="e">
        <f ca="1">EfW!BB35+"Ug1!dM"</f>
        <v>#VALUE!</v>
      </c>
      <c r="EJ22" t="e">
        <f ca="1">EfW!BC35+"Ug1!dN"</f>
        <v>#VALUE!</v>
      </c>
      <c r="EK22" t="e">
        <f ca="1">EfW!BD35+"Ug1!dO"</f>
        <v>#VALUE!</v>
      </c>
      <c r="EL22" t="e">
        <f ca="1">EfW!BE35+"Ug1!dP"</f>
        <v>#VALUE!</v>
      </c>
      <c r="EM22" t="e">
        <f ca="1">EfW!BF35+"Ug1!dQ"</f>
        <v>#VALUE!</v>
      </c>
      <c r="EN22" t="e">
        <f ca="1">EfW!BG35+"Ug1!dR"</f>
        <v>#VALUE!</v>
      </c>
      <c r="EO22" t="e">
        <f ca="1">EfW!BH35+"Ug1!dS"</f>
        <v>#VALUE!</v>
      </c>
      <c r="EP22" t="e">
        <f ca="1">EfW!BI35+"Ug1!dT"</f>
        <v>#VALUE!</v>
      </c>
      <c r="EQ22" t="e">
        <f ca="1">EfW!BJ35+"Ug1!dU"</f>
        <v>#VALUE!</v>
      </c>
      <c r="ER22" t="e">
        <f ca="1">EfW!BK35+"Ug1!dV"</f>
        <v>#VALUE!</v>
      </c>
      <c r="ES22" t="e">
        <f ca="1">EfW!BL35+"Ug1!dW"</f>
        <v>#VALUE!</v>
      </c>
      <c r="ET22" t="e">
        <f ca="1">EfW!BM35+"Ug1!dX"</f>
        <v>#VALUE!</v>
      </c>
      <c r="EU22" t="e">
        <f ca="1">EfW!BN35+"Ug1!dY"</f>
        <v>#VALUE!</v>
      </c>
      <c r="EV22" t="e">
        <f ca="1">EfW!BO35+"Ug1!dZ"</f>
        <v>#VALUE!</v>
      </c>
      <c r="EW22" t="e">
        <f ca="1">EfW!BP35+"Ug1!d["</f>
        <v>#VALUE!</v>
      </c>
      <c r="EX22" t="e">
        <f ca="1">EfW!BQ35+"Ug1!d\"</f>
        <v>#VALUE!</v>
      </c>
      <c r="EY22" t="e">
        <f ca="1">EfW!BR35+"Ug1!d]"</f>
        <v>#VALUE!</v>
      </c>
      <c r="EZ22" t="e">
        <f ca="1">EfW!BS35+"Ug1!d^"</f>
        <v>#VALUE!</v>
      </c>
      <c r="FA22" t="e">
        <f ca="1">EfW!BT35+"Ug1!d_"</f>
        <v>#VALUE!</v>
      </c>
      <c r="FB22" t="e">
        <f ca="1">EfW!BU35+"Ug1!d`"</f>
        <v>#VALUE!</v>
      </c>
      <c r="FC22" t="e">
        <f ca="1">EfW!BV35+"Ug1!da"</f>
        <v>#VALUE!</v>
      </c>
      <c r="FD22" t="e">
        <f ca="1">EfW!BW35+"Ug1!db"</f>
        <v>#VALUE!</v>
      </c>
      <c r="FE22" t="e">
        <f ca="1">EfW!BX35+"Ug1!dc"</f>
        <v>#VALUE!</v>
      </c>
      <c r="FF22" t="e">
        <f ca="1">EfW!BY35+"Ug1!dd"</f>
        <v>#VALUE!</v>
      </c>
      <c r="FG22" t="e">
        <f ca="1">EfW!B37+"Ug1!de"</f>
        <v>#VALUE!</v>
      </c>
      <c r="FH22" t="e">
        <f ca="1">EfW!K37+"Ug1!df"</f>
        <v>#VALUE!</v>
      </c>
      <c r="FI22" t="e">
        <f ca="1">EfW!C38+"Ug1!dg"</f>
        <v>#VALUE!</v>
      </c>
      <c r="FJ22" t="e">
        <f ca="1">EfW!K38+"Ug1!dh"</f>
        <v>#VALUE!</v>
      </c>
      <c r="FK22" t="e">
        <f ca="1">EfW!A39+"Ug1!di"</f>
        <v>#VALUE!</v>
      </c>
      <c r="FL22" t="e">
        <f ca="1">EfW!B39+"Ug1!dj"</f>
        <v>#VALUE!</v>
      </c>
      <c r="FM22" t="e">
        <f ca="1">EfW!C39+"Ug1!dk"</f>
        <v>#VALUE!</v>
      </c>
      <c r="FN22" t="e">
        <f ca="1">EfW!D39+"Ug1!dl"</f>
        <v>#VALUE!</v>
      </c>
      <c r="FO22" t="e">
        <f ca="1">EfW!E39+"Ug1!dm"</f>
        <v>#VALUE!</v>
      </c>
      <c r="FP22" t="e">
        <f ca="1">EfW!F39+"Ug1!dn"</f>
        <v>#VALUE!</v>
      </c>
      <c r="FQ22" t="e">
        <f ca="1">EfW!G39+"Ug1!do"</f>
        <v>#VALUE!</v>
      </c>
      <c r="FR22" t="e">
        <f ca="1">EfW!A40+"Ug1!dp"</f>
        <v>#VALUE!</v>
      </c>
      <c r="FS22" t="e">
        <f ca="1">EfW!B40+"Ug1!dq"</f>
        <v>#VALUE!</v>
      </c>
      <c r="FT22" t="e">
        <f ca="1">EfW!C40+"Ug1!dr"</f>
        <v>#VALUE!</v>
      </c>
      <c r="FU22" t="e">
        <f ca="1">EfW!D40+"Ug1!ds"</f>
        <v>#VALUE!</v>
      </c>
      <c r="FV22" t="e">
        <f ca="1">EfW!E40+"Ug1!dt"</f>
        <v>#VALUE!</v>
      </c>
      <c r="FW22" t="e">
        <f ca="1">EfW!F40+"Ug1!du"</f>
        <v>#VALUE!</v>
      </c>
      <c r="FX22" t="e">
        <f ca="1">EfW!G40+"Ug1!dv"</f>
        <v>#VALUE!</v>
      </c>
      <c r="FY22" t="e">
        <f ca="1">EfW!H40+"Ug1!dw"</f>
        <v>#VALUE!</v>
      </c>
      <c r="FZ22" t="e">
        <f ca="1">EfW!I40+"Ug1!dx"</f>
        <v>#VALUE!</v>
      </c>
      <c r="GA22" t="e">
        <f ca="1">EfW!J40+"Ug1!dy"</f>
        <v>#VALUE!</v>
      </c>
      <c r="GB22" t="e">
        <f ca="1">EfW!K40+"Ug1!dz"</f>
        <v>#VALUE!</v>
      </c>
      <c r="GC22" t="e">
        <f ca="1">EfW!L40+"Ug1!d{"</f>
        <v>#VALUE!</v>
      </c>
      <c r="GD22" t="e">
        <f ca="1">EfW!M40+"Ug1!d|"</f>
        <v>#VALUE!</v>
      </c>
      <c r="GE22" t="e">
        <f ca="1">EfW!N40+"Ug1!d}"</f>
        <v>#VALUE!</v>
      </c>
      <c r="GF22" t="e">
        <f ca="1">EfW!O40+"Ug1!d~"</f>
        <v>#VALUE!</v>
      </c>
      <c r="GG22" t="e">
        <f ca="1">EfW!P40+"Ug1!e#"</f>
        <v>#VALUE!</v>
      </c>
      <c r="GH22" t="e">
        <f ca="1">EfW!Q40+"Ug1!e$"</f>
        <v>#VALUE!</v>
      </c>
      <c r="GI22" t="e">
        <f ca="1">EfW!R40+"Ug1!e%"</f>
        <v>#VALUE!</v>
      </c>
      <c r="GJ22" t="e">
        <f ca="1">EfW!S40+"Ug1!e&amp;"</f>
        <v>#VALUE!</v>
      </c>
      <c r="GK22" t="e">
        <f ca="1">EfW!T40+"Ug1!e'"</f>
        <v>#VALUE!</v>
      </c>
      <c r="GL22" t="e">
        <f ca="1">EfW!U40+"Ug1!e("</f>
        <v>#VALUE!</v>
      </c>
      <c r="GM22" t="e">
        <f ca="1">EfW!V40+"Ug1!e)"</f>
        <v>#VALUE!</v>
      </c>
      <c r="GN22" t="e">
        <f ca="1">EfW!W40+"Ug1!e."</f>
        <v>#VALUE!</v>
      </c>
      <c r="GO22" t="e">
        <f ca="1">EfW!X40+"Ug1!e/"</f>
        <v>#VALUE!</v>
      </c>
      <c r="GP22" t="e">
        <f ca="1">EfW!Y40+"Ug1!e0"</f>
        <v>#VALUE!</v>
      </c>
      <c r="GQ22" t="e">
        <f ca="1">EfW!Z40+"Ug1!e1"</f>
        <v>#VALUE!</v>
      </c>
      <c r="GR22" t="e">
        <f ca="1">EfW!AA40+"Ug1!e2"</f>
        <v>#VALUE!</v>
      </c>
      <c r="GS22" t="e">
        <f ca="1">EfW!AB40+"Ug1!e3"</f>
        <v>#VALUE!</v>
      </c>
      <c r="GT22" t="e">
        <f ca="1">EfW!AC40+"Ug1!e4"</f>
        <v>#VALUE!</v>
      </c>
      <c r="GU22" t="e">
        <f ca="1">EfW!AD40+"Ug1!e5"</f>
        <v>#VALUE!</v>
      </c>
      <c r="GV22" t="e">
        <f ca="1">EfW!AE40+"Ug1!e6"</f>
        <v>#VALUE!</v>
      </c>
      <c r="GW22" t="e">
        <f ca="1">EfW!AF40+"Ug1!e7"</f>
        <v>#VALUE!</v>
      </c>
      <c r="GX22" t="e">
        <f ca="1">EfW!AG40+"Ug1!e8"</f>
        <v>#VALUE!</v>
      </c>
      <c r="GY22" t="e">
        <f ca="1">EfW!AH40+"Ug1!e9"</f>
        <v>#VALUE!</v>
      </c>
      <c r="GZ22" t="e">
        <f ca="1">EfW!AI40+"Ug1!e:"</f>
        <v>#VALUE!</v>
      </c>
      <c r="HA22" t="e">
        <f ca="1">EfW!AJ40+"Ug1!e;"</f>
        <v>#VALUE!</v>
      </c>
      <c r="HB22" t="e">
        <f ca="1">EfW!AK40+"Ug1!e&lt;"</f>
        <v>#VALUE!</v>
      </c>
      <c r="HC22" t="e">
        <f ca="1">EfW!AL40+"Ug1!e="</f>
        <v>#VALUE!</v>
      </c>
      <c r="HD22" t="e">
        <f ca="1">EfW!AM40+"Ug1!e&gt;"</f>
        <v>#VALUE!</v>
      </c>
      <c r="HE22" t="e">
        <f ca="1">EfW!AN40+"Ug1!e?"</f>
        <v>#VALUE!</v>
      </c>
      <c r="HF22" t="e">
        <f ca="1">EfW!AO40+"Ug1!e@"</f>
        <v>#VALUE!</v>
      </c>
      <c r="HG22" t="e">
        <f ca="1">EfW!AP40+"Ug1!eA"</f>
        <v>#VALUE!</v>
      </c>
      <c r="HH22" t="e">
        <f ca="1">EfW!AQ40+"Ug1!eB"</f>
        <v>#VALUE!</v>
      </c>
      <c r="HI22" t="e">
        <f ca="1">EfW!AR40+"Ug1!eC"</f>
        <v>#VALUE!</v>
      </c>
      <c r="HJ22" t="e">
        <f ca="1">EfW!AS40+"Ug1!eD"</f>
        <v>#VALUE!</v>
      </c>
      <c r="HK22" t="e">
        <f ca="1">EfW!AT40+"Ug1!eE"</f>
        <v>#VALUE!</v>
      </c>
      <c r="HL22" t="e">
        <f ca="1">EfW!AU40+"Ug1!eF"</f>
        <v>#VALUE!</v>
      </c>
      <c r="HM22" t="e">
        <f ca="1">EfW!AV40+"Ug1!eG"</f>
        <v>#VALUE!</v>
      </c>
      <c r="HN22" t="e">
        <f ca="1">EfW!AW40+"Ug1!eH"</f>
        <v>#VALUE!</v>
      </c>
      <c r="HO22" t="e">
        <f ca="1">EfW!AX40+"Ug1!eI"</f>
        <v>#VALUE!</v>
      </c>
      <c r="HP22" t="e">
        <f ca="1">EfW!AY40+"Ug1!eJ"</f>
        <v>#VALUE!</v>
      </c>
      <c r="HQ22" t="e">
        <f ca="1">EfW!AZ40+"Ug1!eK"</f>
        <v>#VALUE!</v>
      </c>
      <c r="HR22" t="e">
        <f ca="1">EfW!BA40+"Ug1!eL"</f>
        <v>#VALUE!</v>
      </c>
      <c r="HS22" t="e">
        <f ca="1">EfW!BB40+"Ug1!eM"</f>
        <v>#VALUE!</v>
      </c>
      <c r="HT22" t="e">
        <f ca="1">EfW!BC40+"Ug1!eN"</f>
        <v>#VALUE!</v>
      </c>
      <c r="HU22" t="e">
        <f ca="1">EfW!BD40+"Ug1!eO"</f>
        <v>#VALUE!</v>
      </c>
      <c r="HV22" t="e">
        <f ca="1">EfW!BE40+"Ug1!eP"</f>
        <v>#VALUE!</v>
      </c>
      <c r="HW22" t="e">
        <f ca="1">EfW!BF40+"Ug1!eQ"</f>
        <v>#VALUE!</v>
      </c>
      <c r="HX22" t="e">
        <f ca="1">EfW!BG40+"Ug1!eR"</f>
        <v>#VALUE!</v>
      </c>
      <c r="HY22" t="e">
        <f ca="1">EfW!BH40+"Ug1!eS"</f>
        <v>#VALUE!</v>
      </c>
      <c r="HZ22" t="e">
        <f ca="1">EfW!BI40+"Ug1!eT"</f>
        <v>#VALUE!</v>
      </c>
      <c r="IA22" t="e">
        <f ca="1">EfW!BJ40+"Ug1!eU"</f>
        <v>#VALUE!</v>
      </c>
      <c r="IB22" t="e">
        <f ca="1">EfW!BK40+"Ug1!eV"</f>
        <v>#VALUE!</v>
      </c>
      <c r="IC22" t="e">
        <f ca="1">EfW!BL40+"Ug1!eW"</f>
        <v>#VALUE!</v>
      </c>
      <c r="ID22" t="e">
        <f ca="1">EfW!BM40+"Ug1!eX"</f>
        <v>#VALUE!</v>
      </c>
      <c r="IE22" t="e">
        <f ca="1">EfW!BN40+"Ug1!eY"</f>
        <v>#VALUE!</v>
      </c>
      <c r="IF22" t="e">
        <f ca="1">EfW!BO40+"Ug1!eZ"</f>
        <v>#VALUE!</v>
      </c>
      <c r="IG22" t="e">
        <f ca="1">EfW!BP40+"Ug1!e["</f>
        <v>#VALUE!</v>
      </c>
      <c r="IH22" t="e">
        <f ca="1">EfW!BQ40+"Ug1!e\"</f>
        <v>#VALUE!</v>
      </c>
      <c r="II22" t="e">
        <f ca="1">EfW!BR40+"Ug1!e]"</f>
        <v>#VALUE!</v>
      </c>
      <c r="IJ22" t="e">
        <f ca="1">EfW!BS40+"Ug1!e^"</f>
        <v>#VALUE!</v>
      </c>
      <c r="IK22" t="e">
        <f ca="1">EfW!BT40+"Ug1!e_"</f>
        <v>#VALUE!</v>
      </c>
      <c r="IL22" t="e">
        <f ca="1">EfW!BU40+"Ug1!e`"</f>
        <v>#VALUE!</v>
      </c>
      <c r="IM22" t="e">
        <f ca="1">EfW!BV40+"Ug1!ea"</f>
        <v>#VALUE!</v>
      </c>
      <c r="IN22" t="e">
        <f ca="1">EfW!BW40+"Ug1!eb"</f>
        <v>#VALUE!</v>
      </c>
      <c r="IO22" t="e">
        <f ca="1">EfW!BX40+"Ug1!ec"</f>
        <v>#VALUE!</v>
      </c>
      <c r="IP22" t="e">
        <f ca="1">EfW!BY40+"Ug1!ed"</f>
        <v>#VALUE!</v>
      </c>
      <c r="IQ22" t="e">
        <f ca="1">EfW!A41+"Ug1!ee"</f>
        <v>#VALUE!</v>
      </c>
      <c r="IR22" t="e">
        <f ca="1">EfW!B41+"Ug1!ef"</f>
        <v>#VALUE!</v>
      </c>
      <c r="IS22" t="e">
        <f ca="1">EfW!C41+"Ug1!eg"</f>
        <v>#VALUE!</v>
      </c>
      <c r="IT22" t="e">
        <f ca="1">EfW!D41+"Ug1!eh"</f>
        <v>#VALUE!</v>
      </c>
      <c r="IU22" t="e">
        <f ca="1">EfW!A42+"Ug1!ei"</f>
        <v>#VALUE!</v>
      </c>
      <c r="IV22" t="e">
        <f ca="1">EfW!B42+"Ug1!ej"</f>
        <v>#VALUE!</v>
      </c>
    </row>
    <row r="23" spans="6:256" x14ac:dyDescent="0.2">
      <c r="F23" t="e">
        <f ca="1">EfW!C42+"Ug1!ek"</f>
        <v>#VALUE!</v>
      </c>
      <c r="G23" t="e">
        <f ca="1">EfW!D42+"Ug1!el"</f>
        <v>#VALUE!</v>
      </c>
      <c r="H23" t="e">
        <f ca="1">EfW!E42+"Ug1!em"</f>
        <v>#VALUE!</v>
      </c>
      <c r="I23" t="e">
        <f ca="1">EfW!G42+"Ug1!en"</f>
        <v>#VALUE!</v>
      </c>
      <c r="J23" t="e">
        <f ca="1">EfW!J42+"Ug1!eo"</f>
        <v>#VALUE!</v>
      </c>
      <c r="K23" t="e">
        <f ca="1">EfW!K42+"Ug1!ep"</f>
        <v>#VALUE!</v>
      </c>
      <c r="L23" t="e">
        <f ca="1">EfW!L42+"Ug1!eq"</f>
        <v>#VALUE!</v>
      </c>
      <c r="M23" t="e">
        <f ca="1">EfW!M42+"Ug1!er"</f>
        <v>#VALUE!</v>
      </c>
      <c r="N23" t="e">
        <f ca="1">EfW!N42+"Ug1!es"</f>
        <v>#VALUE!</v>
      </c>
      <c r="O23" t="e">
        <f ca="1">EfW!O42+"Ug1!et"</f>
        <v>#VALUE!</v>
      </c>
      <c r="P23" t="e">
        <f ca="1">EfW!P42+"Ug1!eu"</f>
        <v>#VALUE!</v>
      </c>
      <c r="Q23" t="e">
        <f ca="1">EfW!Q42+"Ug1!ev"</f>
        <v>#VALUE!</v>
      </c>
      <c r="R23" t="e">
        <f ca="1">EfW!R42+"Ug1!ew"</f>
        <v>#VALUE!</v>
      </c>
      <c r="S23" t="e">
        <f ca="1">EfW!S42+"Ug1!ex"</f>
        <v>#VALUE!</v>
      </c>
      <c r="T23" t="e">
        <f ca="1">EfW!T42+"Ug1!ey"</f>
        <v>#VALUE!</v>
      </c>
      <c r="U23" t="e">
        <f ca="1">EfW!U42+"Ug1!ez"</f>
        <v>#VALUE!</v>
      </c>
      <c r="V23" t="e">
        <f ca="1">EfW!V42+"Ug1!e{"</f>
        <v>#VALUE!</v>
      </c>
      <c r="W23" t="e">
        <f ca="1">EfW!W42+"Ug1!e|"</f>
        <v>#VALUE!</v>
      </c>
      <c r="X23" t="e">
        <f ca="1">EfW!X42+"Ug1!e}"</f>
        <v>#VALUE!</v>
      </c>
      <c r="Y23" t="e">
        <f ca="1">EfW!Y42+"Ug1!e~"</f>
        <v>#VALUE!</v>
      </c>
      <c r="Z23" t="e">
        <f ca="1">EfW!Z42+"Ug1!f#"</f>
        <v>#VALUE!</v>
      </c>
      <c r="AA23" t="e">
        <f ca="1">EfW!AA42+"Ug1!f$"</f>
        <v>#VALUE!</v>
      </c>
      <c r="AB23" t="e">
        <f ca="1">EfW!AB42+"Ug1!f%"</f>
        <v>#VALUE!</v>
      </c>
      <c r="AC23" t="e">
        <f ca="1">EfW!AC42+"Ug1!f&amp;"</f>
        <v>#VALUE!</v>
      </c>
      <c r="AD23" t="e">
        <f ca="1">EfW!AD42+"Ug1!f'"</f>
        <v>#VALUE!</v>
      </c>
      <c r="AE23" t="e">
        <f ca="1">EfW!AE42+"Ug1!f("</f>
        <v>#VALUE!</v>
      </c>
      <c r="AF23" t="e">
        <f ca="1">EfW!AF42+"Ug1!f)"</f>
        <v>#VALUE!</v>
      </c>
      <c r="AG23" t="e">
        <f ca="1">EfW!AG42+"Ug1!f."</f>
        <v>#VALUE!</v>
      </c>
      <c r="AH23" t="e">
        <f ca="1">EfW!AH42+"Ug1!f/"</f>
        <v>#VALUE!</v>
      </c>
      <c r="AI23" t="e">
        <f ca="1">EfW!AI42+"Ug1!f0"</f>
        <v>#VALUE!</v>
      </c>
      <c r="AJ23" t="e">
        <f ca="1">EfW!AJ42+"Ug1!f1"</f>
        <v>#VALUE!</v>
      </c>
      <c r="AK23" t="e">
        <f ca="1">EfW!AK42+"Ug1!f2"</f>
        <v>#VALUE!</v>
      </c>
      <c r="AL23" t="e">
        <f ca="1">EfW!AL42+"Ug1!f3"</f>
        <v>#VALUE!</v>
      </c>
      <c r="AM23" t="e">
        <f ca="1">EfW!AM42+"Ug1!f4"</f>
        <v>#VALUE!</v>
      </c>
      <c r="AN23" t="e">
        <f ca="1">EfW!AN42+"Ug1!f5"</f>
        <v>#VALUE!</v>
      </c>
      <c r="AO23" t="e">
        <f ca="1">EfW!AO42+"Ug1!f6"</f>
        <v>#VALUE!</v>
      </c>
      <c r="AP23" t="e">
        <f ca="1">EfW!AP42+"Ug1!f7"</f>
        <v>#VALUE!</v>
      </c>
      <c r="AQ23" t="e">
        <f ca="1">EfW!AQ42+"Ug1!f8"</f>
        <v>#VALUE!</v>
      </c>
      <c r="AR23" t="e">
        <f ca="1">EfW!AR42+"Ug1!f9"</f>
        <v>#VALUE!</v>
      </c>
      <c r="AS23" t="e">
        <f ca="1">EfW!AS42+"Ug1!f:"</f>
        <v>#VALUE!</v>
      </c>
      <c r="AT23" t="e">
        <f ca="1">EfW!AT42+"Ug1!f;"</f>
        <v>#VALUE!</v>
      </c>
      <c r="AU23" t="e">
        <f ca="1">EfW!AU42+"Ug1!f&lt;"</f>
        <v>#VALUE!</v>
      </c>
      <c r="AV23" t="e">
        <f ca="1">EfW!AV42+"Ug1!f="</f>
        <v>#VALUE!</v>
      </c>
      <c r="AW23" t="e">
        <f ca="1">EfW!AW42+"Ug1!f&gt;"</f>
        <v>#VALUE!</v>
      </c>
      <c r="AX23" t="e">
        <f ca="1">EfW!AX42+"Ug1!f?"</f>
        <v>#VALUE!</v>
      </c>
      <c r="AY23" t="e">
        <f ca="1">EfW!AY42+"Ug1!f@"</f>
        <v>#VALUE!</v>
      </c>
      <c r="AZ23" t="e">
        <f ca="1">EfW!AZ42+"Ug1!fA"</f>
        <v>#VALUE!</v>
      </c>
      <c r="BA23" t="e">
        <f ca="1">EfW!BA42+"Ug1!fB"</f>
        <v>#VALUE!</v>
      </c>
      <c r="BB23" t="e">
        <f ca="1">EfW!BB42+"Ug1!fC"</f>
        <v>#VALUE!</v>
      </c>
      <c r="BC23" t="e">
        <f ca="1">EfW!BC42+"Ug1!fD"</f>
        <v>#VALUE!</v>
      </c>
      <c r="BD23" t="e">
        <f ca="1">EfW!BD42+"Ug1!fE"</f>
        <v>#VALUE!</v>
      </c>
      <c r="BE23" t="e">
        <f ca="1">EfW!BE42+"Ug1!fF"</f>
        <v>#VALUE!</v>
      </c>
      <c r="BF23" t="e">
        <f ca="1">EfW!BF42+"Ug1!fG"</f>
        <v>#VALUE!</v>
      </c>
      <c r="BG23" t="e">
        <f ca="1">EfW!BG42+"Ug1!fH"</f>
        <v>#VALUE!</v>
      </c>
      <c r="BH23" t="e">
        <f ca="1">EfW!BH42+"Ug1!fI"</f>
        <v>#VALUE!</v>
      </c>
      <c r="BI23" t="e">
        <f ca="1">EfW!BI42+"Ug1!fJ"</f>
        <v>#VALUE!</v>
      </c>
      <c r="BJ23" t="e">
        <f ca="1">EfW!BJ42+"Ug1!fK"</f>
        <v>#VALUE!</v>
      </c>
      <c r="BK23" t="e">
        <f ca="1">EfW!BK42+"Ug1!fL"</f>
        <v>#VALUE!</v>
      </c>
      <c r="BL23" t="e">
        <f ca="1">EfW!BL42+"Ug1!fM"</f>
        <v>#VALUE!</v>
      </c>
      <c r="BM23" t="e">
        <f ca="1">EfW!BM42+"Ug1!fN"</f>
        <v>#VALUE!</v>
      </c>
      <c r="BN23" t="e">
        <f ca="1">EfW!BN42+"Ug1!fO"</f>
        <v>#VALUE!</v>
      </c>
      <c r="BO23" t="e">
        <f ca="1">EfW!BO42+"Ug1!fP"</f>
        <v>#VALUE!</v>
      </c>
      <c r="BP23" t="e">
        <f ca="1">EfW!BP42+"Ug1!fQ"</f>
        <v>#VALUE!</v>
      </c>
      <c r="BQ23" t="e">
        <f ca="1">EfW!BQ42+"Ug1!fR"</f>
        <v>#VALUE!</v>
      </c>
      <c r="BR23" t="e">
        <f ca="1">EfW!BR42+"Ug1!fS"</f>
        <v>#VALUE!</v>
      </c>
      <c r="BS23" t="e">
        <f ca="1">EfW!BS42+"Ug1!fT"</f>
        <v>#VALUE!</v>
      </c>
      <c r="BT23" t="e">
        <f ca="1">EfW!BT42+"Ug1!fU"</f>
        <v>#VALUE!</v>
      </c>
      <c r="BU23" t="e">
        <f ca="1">EfW!BU42+"Ug1!fV"</f>
        <v>#VALUE!</v>
      </c>
      <c r="BV23" t="e">
        <f ca="1">EfW!BV42+"Ug1!fW"</f>
        <v>#VALUE!</v>
      </c>
      <c r="BW23" t="e">
        <f ca="1">EfW!BW42+"Ug1!fX"</f>
        <v>#VALUE!</v>
      </c>
      <c r="BX23" t="e">
        <f ca="1">EfW!BX42+"Ug1!fY"</f>
        <v>#VALUE!</v>
      </c>
      <c r="BY23" t="e">
        <f ca="1">EfW!BY42+"Ug1!fZ"</f>
        <v>#VALUE!</v>
      </c>
      <c r="BZ23" t="e">
        <f ca="1">EfW!A43+"Ug1!f["</f>
        <v>#VALUE!</v>
      </c>
      <c r="CA23" t="e">
        <f ca="1">EfW!B43+"Ug1!f\"</f>
        <v>#VALUE!</v>
      </c>
      <c r="CB23" t="e">
        <f ca="1">EfW!C43+"Ug1!f]"</f>
        <v>#VALUE!</v>
      </c>
      <c r="CC23" t="e">
        <f ca="1">EfW!D43+"Ug1!f^"</f>
        <v>#VALUE!</v>
      </c>
      <c r="CD23" t="e">
        <f ca="1">EfW!E43+"Ug1!f_"</f>
        <v>#VALUE!</v>
      </c>
      <c r="CE23" t="e">
        <f ca="1">EfW!F43+"Ug1!f`"</f>
        <v>#VALUE!</v>
      </c>
      <c r="CF23" t="e">
        <f ca="1">EfW!G43+"Ug1!fa"</f>
        <v>#VALUE!</v>
      </c>
      <c r="CG23" t="e">
        <f ca="1">EfW!H43+"Ug1!fb"</f>
        <v>#VALUE!</v>
      </c>
      <c r="CH23" t="e">
        <f ca="1">EfW!I43+"Ug1!fc"</f>
        <v>#VALUE!</v>
      </c>
      <c r="CI23" t="e">
        <f ca="1">EfW!J43+"Ug1!fd"</f>
        <v>#VALUE!</v>
      </c>
      <c r="CJ23" t="e">
        <f ca="1">EfW!K43+"Ug1!fe"</f>
        <v>#VALUE!</v>
      </c>
      <c r="CK23" t="e">
        <f ca="1">EfW!L43+"Ug1!ff"</f>
        <v>#VALUE!</v>
      </c>
      <c r="CL23" t="e">
        <f ca="1">EfW!M43+"Ug1!fg"</f>
        <v>#VALUE!</v>
      </c>
      <c r="CM23" t="e">
        <f ca="1">EfW!N43+"Ug1!fh"</f>
        <v>#VALUE!</v>
      </c>
      <c r="CN23" t="e">
        <f ca="1">EfW!O43+"Ug1!fi"</f>
        <v>#VALUE!</v>
      </c>
      <c r="CO23" t="e">
        <f ca="1">EfW!P43+"Ug1!fj"</f>
        <v>#VALUE!</v>
      </c>
      <c r="CP23" t="e">
        <f ca="1">EfW!Q43+"Ug1!fk"</f>
        <v>#VALUE!</v>
      </c>
      <c r="CQ23" t="e">
        <f ca="1">EfW!R43+"Ug1!fl"</f>
        <v>#VALUE!</v>
      </c>
      <c r="CR23" t="e">
        <f ca="1">EfW!S43+"Ug1!fm"</f>
        <v>#VALUE!</v>
      </c>
      <c r="CS23" t="e">
        <f ca="1">EfW!T43+"Ug1!fn"</f>
        <v>#VALUE!</v>
      </c>
      <c r="CT23" t="e">
        <f ca="1">EfW!U43+"Ug1!fo"</f>
        <v>#VALUE!</v>
      </c>
      <c r="CU23" t="e">
        <f ca="1">EfW!V43+"Ug1!fp"</f>
        <v>#VALUE!</v>
      </c>
      <c r="CV23" t="e">
        <f ca="1">EfW!W43+"Ug1!fq"</f>
        <v>#VALUE!</v>
      </c>
      <c r="CW23" t="e">
        <f ca="1">EfW!X43+"Ug1!fr"</f>
        <v>#VALUE!</v>
      </c>
      <c r="CX23" t="e">
        <f ca="1">EfW!Y43+"Ug1!fs"</f>
        <v>#VALUE!</v>
      </c>
      <c r="CY23" t="e">
        <f ca="1">EfW!Z43+"Ug1!ft"</f>
        <v>#VALUE!</v>
      </c>
      <c r="CZ23" t="e">
        <f ca="1">EfW!AA43+"Ug1!fu"</f>
        <v>#VALUE!</v>
      </c>
      <c r="DA23" t="e">
        <f ca="1">EfW!AB43+"Ug1!fv"</f>
        <v>#VALUE!</v>
      </c>
      <c r="DB23" t="e">
        <f ca="1">EfW!AC43+"Ug1!fw"</f>
        <v>#VALUE!</v>
      </c>
      <c r="DC23" t="e">
        <f ca="1">EfW!AD43+"Ug1!fx"</f>
        <v>#VALUE!</v>
      </c>
      <c r="DD23" t="e">
        <f ca="1">EfW!AE43+"Ug1!fy"</f>
        <v>#VALUE!</v>
      </c>
      <c r="DE23" t="e">
        <f ca="1">EfW!AF43+"Ug1!fz"</f>
        <v>#VALUE!</v>
      </c>
      <c r="DF23" t="e">
        <f ca="1">EfW!AG43+"Ug1!f{"</f>
        <v>#VALUE!</v>
      </c>
      <c r="DG23" t="e">
        <f ca="1">EfW!AH43+"Ug1!f|"</f>
        <v>#VALUE!</v>
      </c>
      <c r="DH23" t="e">
        <f ca="1">EfW!AI43+"Ug1!f}"</f>
        <v>#VALUE!</v>
      </c>
      <c r="DI23" t="e">
        <f ca="1">EfW!AJ43+"Ug1!f~"</f>
        <v>#VALUE!</v>
      </c>
      <c r="DJ23" t="e">
        <f ca="1">EfW!AK43+"Ug1!g#"</f>
        <v>#VALUE!</v>
      </c>
      <c r="DK23" t="e">
        <f ca="1">EfW!AL43+"Ug1!g$"</f>
        <v>#VALUE!</v>
      </c>
      <c r="DL23" t="e">
        <f ca="1">EfW!AM43+"Ug1!g%"</f>
        <v>#VALUE!</v>
      </c>
      <c r="DM23" t="e">
        <f ca="1">EfW!AN43+"Ug1!g&amp;"</f>
        <v>#VALUE!</v>
      </c>
      <c r="DN23" t="e">
        <f ca="1">EfW!AO43+"Ug1!g'"</f>
        <v>#VALUE!</v>
      </c>
      <c r="DO23" t="e">
        <f ca="1">EfW!AP43+"Ug1!g("</f>
        <v>#VALUE!</v>
      </c>
      <c r="DP23" t="e">
        <f ca="1">EfW!AQ43+"Ug1!g)"</f>
        <v>#VALUE!</v>
      </c>
      <c r="DQ23" t="e">
        <f ca="1">EfW!AR43+"Ug1!g."</f>
        <v>#VALUE!</v>
      </c>
      <c r="DR23" t="e">
        <f ca="1">EfW!AS43+"Ug1!g/"</f>
        <v>#VALUE!</v>
      </c>
      <c r="DS23" t="e">
        <f ca="1">EfW!AT43+"Ug1!g0"</f>
        <v>#VALUE!</v>
      </c>
      <c r="DT23" t="e">
        <f ca="1">EfW!AU43+"Ug1!g1"</f>
        <v>#VALUE!</v>
      </c>
      <c r="DU23" t="e">
        <f ca="1">EfW!AV43+"Ug1!g2"</f>
        <v>#VALUE!</v>
      </c>
      <c r="DV23" t="e">
        <f ca="1">EfW!AW43+"Ug1!g3"</f>
        <v>#VALUE!</v>
      </c>
      <c r="DW23" t="e">
        <f ca="1">EfW!AX43+"Ug1!g4"</f>
        <v>#VALUE!</v>
      </c>
      <c r="DX23" t="e">
        <f ca="1">EfW!AY43+"Ug1!g5"</f>
        <v>#VALUE!</v>
      </c>
      <c r="DY23" t="e">
        <f ca="1">EfW!AZ43+"Ug1!g6"</f>
        <v>#VALUE!</v>
      </c>
      <c r="DZ23" t="e">
        <f ca="1">EfW!BA43+"Ug1!g7"</f>
        <v>#VALUE!</v>
      </c>
      <c r="EA23" t="e">
        <f ca="1">EfW!BB43+"Ug1!g8"</f>
        <v>#VALUE!</v>
      </c>
      <c r="EB23" t="e">
        <f ca="1">EfW!BC43+"Ug1!g9"</f>
        <v>#VALUE!</v>
      </c>
      <c r="EC23" t="e">
        <f ca="1">EfW!BD43+"Ug1!g:"</f>
        <v>#VALUE!</v>
      </c>
      <c r="ED23" t="e">
        <f ca="1">EfW!BE43+"Ug1!g;"</f>
        <v>#VALUE!</v>
      </c>
      <c r="EE23" t="e">
        <f ca="1">EfW!BF43+"Ug1!g&lt;"</f>
        <v>#VALUE!</v>
      </c>
      <c r="EF23" t="e">
        <f ca="1">EfW!BG43+"Ug1!g="</f>
        <v>#VALUE!</v>
      </c>
      <c r="EG23" t="e">
        <f ca="1">EfW!BH43+"Ug1!g&gt;"</f>
        <v>#VALUE!</v>
      </c>
      <c r="EH23" t="e">
        <f ca="1">EfW!BI43+"Ug1!g?"</f>
        <v>#VALUE!</v>
      </c>
      <c r="EI23" t="e">
        <f ca="1">EfW!BJ43+"Ug1!g@"</f>
        <v>#VALUE!</v>
      </c>
      <c r="EJ23" t="e">
        <f ca="1">EfW!BK43+"Ug1!gA"</f>
        <v>#VALUE!</v>
      </c>
      <c r="EK23" t="e">
        <f ca="1">EfW!BL43+"Ug1!gB"</f>
        <v>#VALUE!</v>
      </c>
      <c r="EL23" t="e">
        <f ca="1">EfW!BM43+"Ug1!gC"</f>
        <v>#VALUE!</v>
      </c>
      <c r="EM23" t="e">
        <f ca="1">EfW!BN43+"Ug1!gD"</f>
        <v>#VALUE!</v>
      </c>
      <c r="EN23" t="e">
        <f ca="1">EfW!BO43+"Ug1!gE"</f>
        <v>#VALUE!</v>
      </c>
      <c r="EO23" t="e">
        <f ca="1">EfW!BP43+"Ug1!gF"</f>
        <v>#VALUE!</v>
      </c>
      <c r="EP23" t="e">
        <f ca="1">EfW!BQ43+"Ug1!gG"</f>
        <v>#VALUE!</v>
      </c>
      <c r="EQ23" t="e">
        <f ca="1">EfW!BR43+"Ug1!gH"</f>
        <v>#VALUE!</v>
      </c>
      <c r="ER23" t="e">
        <f ca="1">EfW!BS43+"Ug1!gI"</f>
        <v>#VALUE!</v>
      </c>
      <c r="ES23" t="e">
        <f ca="1">EfW!BT43+"Ug1!gJ"</f>
        <v>#VALUE!</v>
      </c>
      <c r="ET23" t="e">
        <f ca="1">EfW!BU43+"Ug1!gK"</f>
        <v>#VALUE!</v>
      </c>
      <c r="EU23" t="e">
        <f ca="1">EfW!BV43+"Ug1!gL"</f>
        <v>#VALUE!</v>
      </c>
      <c r="EV23" t="e">
        <f ca="1">EfW!BW43+"Ug1!gM"</f>
        <v>#VALUE!</v>
      </c>
      <c r="EW23" t="e">
        <f ca="1">EfW!BX43+"Ug1!gN"</f>
        <v>#VALUE!</v>
      </c>
      <c r="EX23" t="e">
        <f ca="1">EfW!BY43+"Ug1!gO"</f>
        <v>#VALUE!</v>
      </c>
      <c r="EY23" t="e">
        <f ca="1">EfW!A44+"Ug1!gP"</f>
        <v>#VALUE!</v>
      </c>
      <c r="EZ23" t="e">
        <f ca="1">EfW!B44+"Ug1!gQ"</f>
        <v>#VALUE!</v>
      </c>
      <c r="FA23" t="e">
        <f ca="1">EfW!C44+"Ug1!gR"</f>
        <v>#VALUE!</v>
      </c>
      <c r="FB23" t="e">
        <f ca="1">EfW!D44+"Ug1!gS"</f>
        <v>#VALUE!</v>
      </c>
      <c r="FC23" t="e">
        <f ca="1">EfW!E44+"Ug1!gT"</f>
        <v>#VALUE!</v>
      </c>
      <c r="FD23" t="e">
        <f ca="1">EfW!F44+"Ug1!gU"</f>
        <v>#VALUE!</v>
      </c>
      <c r="FE23" t="e">
        <f ca="1">EfW!G44+"Ug1!gV"</f>
        <v>#VALUE!</v>
      </c>
      <c r="FF23" t="e">
        <f ca="1">EfW!H44+"Ug1!gW"</f>
        <v>#VALUE!</v>
      </c>
      <c r="FG23" t="e">
        <f ca="1">EfW!I44+"Ug1!gX"</f>
        <v>#VALUE!</v>
      </c>
      <c r="FH23" t="e">
        <f ca="1">EfW!J44+"Ug1!gY"</f>
        <v>#VALUE!</v>
      </c>
      <c r="FI23" t="e">
        <f ca="1">EfW!K44+"Ug1!gZ"</f>
        <v>#VALUE!</v>
      </c>
      <c r="FJ23" t="e">
        <f ca="1">EfW!L44+"Ug1!g["</f>
        <v>#VALUE!</v>
      </c>
      <c r="FK23" t="e">
        <f ca="1">EfW!M44+"Ug1!g\"</f>
        <v>#VALUE!</v>
      </c>
      <c r="FL23" t="e">
        <f ca="1">EfW!N44+"Ug1!g]"</f>
        <v>#VALUE!</v>
      </c>
      <c r="FM23" t="e">
        <f ca="1">EfW!O44+"Ug1!g^"</f>
        <v>#VALUE!</v>
      </c>
      <c r="FN23" t="e">
        <f ca="1">EfW!P44+"Ug1!g_"</f>
        <v>#VALUE!</v>
      </c>
      <c r="FO23" t="e">
        <f ca="1">EfW!Q44+"Ug1!g`"</f>
        <v>#VALUE!</v>
      </c>
      <c r="FP23" t="e">
        <f ca="1">EfW!R44+"Ug1!ga"</f>
        <v>#VALUE!</v>
      </c>
      <c r="FQ23" t="e">
        <f ca="1">EfW!S44+"Ug1!gb"</f>
        <v>#VALUE!</v>
      </c>
      <c r="FR23" t="e">
        <f ca="1">EfW!T44+"Ug1!gc"</f>
        <v>#VALUE!</v>
      </c>
      <c r="FS23" t="e">
        <f ca="1">EfW!U44+"Ug1!gd"</f>
        <v>#VALUE!</v>
      </c>
      <c r="FT23" t="e">
        <f ca="1">EfW!V44+"Ug1!ge"</f>
        <v>#VALUE!</v>
      </c>
      <c r="FU23" t="e">
        <f ca="1">EfW!W44+"Ug1!gf"</f>
        <v>#VALUE!</v>
      </c>
      <c r="FV23" t="e">
        <f ca="1">EfW!X44+"Ug1!gg"</f>
        <v>#VALUE!</v>
      </c>
      <c r="FW23" t="e">
        <f ca="1">EfW!Y44+"Ug1!gh"</f>
        <v>#VALUE!</v>
      </c>
      <c r="FX23" t="e">
        <f ca="1">EfW!Z44+"Ug1!gi"</f>
        <v>#VALUE!</v>
      </c>
      <c r="FY23" t="e">
        <f ca="1">EfW!AA44+"Ug1!gj"</f>
        <v>#VALUE!</v>
      </c>
      <c r="FZ23" t="e">
        <f ca="1">EfW!AB44+"Ug1!gk"</f>
        <v>#VALUE!</v>
      </c>
      <c r="GA23" t="e">
        <f ca="1">EfW!AC44+"Ug1!gl"</f>
        <v>#VALUE!</v>
      </c>
      <c r="GB23" t="e">
        <f ca="1">EfW!AD44+"Ug1!gm"</f>
        <v>#VALUE!</v>
      </c>
      <c r="GC23" t="e">
        <f ca="1">EfW!AE44+"Ug1!gn"</f>
        <v>#VALUE!</v>
      </c>
      <c r="GD23" t="e">
        <f ca="1">EfW!AF44+"Ug1!go"</f>
        <v>#VALUE!</v>
      </c>
      <c r="GE23" t="e">
        <f ca="1">EfW!AG44+"Ug1!gp"</f>
        <v>#VALUE!</v>
      </c>
      <c r="GF23" t="e">
        <f ca="1">EfW!AH44+"Ug1!gq"</f>
        <v>#VALUE!</v>
      </c>
      <c r="GG23" t="e">
        <f ca="1">EfW!AI44+"Ug1!gr"</f>
        <v>#VALUE!</v>
      </c>
      <c r="GH23" t="e">
        <f ca="1">EfW!AJ44+"Ug1!gs"</f>
        <v>#VALUE!</v>
      </c>
      <c r="GI23" t="e">
        <f ca="1">EfW!AK44+"Ug1!gt"</f>
        <v>#VALUE!</v>
      </c>
      <c r="GJ23" t="e">
        <f ca="1">EfW!AL44+"Ug1!gu"</f>
        <v>#VALUE!</v>
      </c>
      <c r="GK23" t="e">
        <f ca="1">EfW!AM44+"Ug1!gv"</f>
        <v>#VALUE!</v>
      </c>
      <c r="GL23" t="e">
        <f ca="1">EfW!AN44+"Ug1!gw"</f>
        <v>#VALUE!</v>
      </c>
      <c r="GM23" t="e">
        <f ca="1">EfW!AO44+"Ug1!gx"</f>
        <v>#VALUE!</v>
      </c>
      <c r="GN23" t="e">
        <f ca="1">EfW!AP44+"Ug1!gy"</f>
        <v>#VALUE!</v>
      </c>
      <c r="GO23" t="e">
        <f ca="1">EfW!AQ44+"Ug1!gz"</f>
        <v>#VALUE!</v>
      </c>
      <c r="GP23" t="e">
        <f ca="1">EfW!AR44+"Ug1!g{"</f>
        <v>#VALUE!</v>
      </c>
      <c r="GQ23" t="e">
        <f ca="1">EfW!AS44+"Ug1!g|"</f>
        <v>#VALUE!</v>
      </c>
      <c r="GR23" t="e">
        <f ca="1">EfW!AT44+"Ug1!g}"</f>
        <v>#VALUE!</v>
      </c>
      <c r="GS23" t="e">
        <f ca="1">EfW!AU44+"Ug1!g~"</f>
        <v>#VALUE!</v>
      </c>
      <c r="GT23" t="e">
        <f ca="1">EfW!AV44+"Ug1!h#"</f>
        <v>#VALUE!</v>
      </c>
      <c r="GU23" t="e">
        <f ca="1">EfW!AW44+"Ug1!h$"</f>
        <v>#VALUE!</v>
      </c>
      <c r="GV23" t="e">
        <f ca="1">EfW!AX44+"Ug1!h%"</f>
        <v>#VALUE!</v>
      </c>
      <c r="GW23" t="e">
        <f ca="1">EfW!AY44+"Ug1!h&amp;"</f>
        <v>#VALUE!</v>
      </c>
      <c r="GX23" t="e">
        <f ca="1">EfW!AZ44+"Ug1!h'"</f>
        <v>#VALUE!</v>
      </c>
      <c r="GY23" t="e">
        <f ca="1">EfW!BA44+"Ug1!h("</f>
        <v>#VALUE!</v>
      </c>
      <c r="GZ23" t="e">
        <f ca="1">EfW!BB44+"Ug1!h)"</f>
        <v>#VALUE!</v>
      </c>
      <c r="HA23" t="e">
        <f ca="1">EfW!BC44+"Ug1!h."</f>
        <v>#VALUE!</v>
      </c>
      <c r="HB23" t="e">
        <f ca="1">EfW!BD44+"Ug1!h/"</f>
        <v>#VALUE!</v>
      </c>
      <c r="HC23" t="e">
        <f ca="1">EfW!BE44+"Ug1!h0"</f>
        <v>#VALUE!</v>
      </c>
      <c r="HD23" t="e">
        <f ca="1">EfW!BF44+"Ug1!h1"</f>
        <v>#VALUE!</v>
      </c>
      <c r="HE23" t="e">
        <f ca="1">EfW!BG44+"Ug1!h2"</f>
        <v>#VALUE!</v>
      </c>
      <c r="HF23" t="e">
        <f ca="1">EfW!BH44+"Ug1!h3"</f>
        <v>#VALUE!</v>
      </c>
      <c r="HG23" t="e">
        <f ca="1">EfW!BI44+"Ug1!h4"</f>
        <v>#VALUE!</v>
      </c>
      <c r="HH23" t="e">
        <f ca="1">EfW!BJ44+"Ug1!h5"</f>
        <v>#VALUE!</v>
      </c>
      <c r="HI23" t="e">
        <f ca="1">EfW!BK44+"Ug1!h6"</f>
        <v>#VALUE!</v>
      </c>
      <c r="HJ23" t="e">
        <f ca="1">EfW!BL44+"Ug1!h7"</f>
        <v>#VALUE!</v>
      </c>
      <c r="HK23" t="e">
        <f ca="1">EfW!BM44+"Ug1!h8"</f>
        <v>#VALUE!</v>
      </c>
      <c r="HL23" t="e">
        <f ca="1">EfW!BN44+"Ug1!h9"</f>
        <v>#VALUE!</v>
      </c>
      <c r="HM23" t="e">
        <f ca="1">EfW!BO44+"Ug1!h:"</f>
        <v>#VALUE!</v>
      </c>
      <c r="HN23" t="e">
        <f ca="1">EfW!BP44+"Ug1!h;"</f>
        <v>#VALUE!</v>
      </c>
      <c r="HO23" t="e">
        <f ca="1">EfW!BQ44+"Ug1!h&lt;"</f>
        <v>#VALUE!</v>
      </c>
      <c r="HP23" t="e">
        <f ca="1">EfW!BR44+"Ug1!h="</f>
        <v>#VALUE!</v>
      </c>
      <c r="HQ23" t="e">
        <f ca="1">EfW!BS44+"Ug1!h&gt;"</f>
        <v>#VALUE!</v>
      </c>
      <c r="HR23" t="e">
        <f ca="1">EfW!BT44+"Ug1!h?"</f>
        <v>#VALUE!</v>
      </c>
      <c r="HS23" t="e">
        <f ca="1">EfW!BU44+"Ug1!h@"</f>
        <v>#VALUE!</v>
      </c>
      <c r="HT23" t="e">
        <f ca="1">EfW!BV44+"Ug1!hA"</f>
        <v>#VALUE!</v>
      </c>
      <c r="HU23" t="e">
        <f ca="1">EfW!BW44+"Ug1!hB"</f>
        <v>#VALUE!</v>
      </c>
      <c r="HV23" t="e">
        <f ca="1">EfW!BX44+"Ug1!hC"</f>
        <v>#VALUE!</v>
      </c>
      <c r="HW23" t="e">
        <f ca="1">EfW!BY44+"Ug1!hD"</f>
        <v>#VALUE!</v>
      </c>
      <c r="HX23" t="e">
        <f ca="1">EfW!A45+"Ug1!hE"</f>
        <v>#VALUE!</v>
      </c>
      <c r="HY23" t="e">
        <f ca="1">EfW!B45+"Ug1!hF"</f>
        <v>#VALUE!</v>
      </c>
      <c r="HZ23" t="e">
        <f ca="1">EfW!C45+"Ug1!hG"</f>
        <v>#VALUE!</v>
      </c>
      <c r="IA23" t="e">
        <f ca="1">EfW!D45+"Ug1!hH"</f>
        <v>#VALUE!</v>
      </c>
      <c r="IB23" t="e">
        <f ca="1">EfW!E45+"Ug1!hI"</f>
        <v>#VALUE!</v>
      </c>
      <c r="IC23" t="e">
        <f ca="1">EfW!G45+"Ug1!hJ"</f>
        <v>#VALUE!</v>
      </c>
      <c r="ID23" t="e">
        <f ca="1">EfW!I45+"Ug1!hK"</f>
        <v>#VALUE!</v>
      </c>
      <c r="IE23" t="e">
        <f ca="1">EfW!J45+"Ug1!hL"</f>
        <v>#VALUE!</v>
      </c>
      <c r="IF23" t="e">
        <f ca="1">EfW!K45+"Ug1!hM"</f>
        <v>#VALUE!</v>
      </c>
      <c r="IG23" t="e">
        <f ca="1">EfW!L45+"Ug1!hN"</f>
        <v>#VALUE!</v>
      </c>
      <c r="IH23" t="e">
        <f ca="1">EfW!M45+"Ug1!hO"</f>
        <v>#VALUE!</v>
      </c>
      <c r="II23" t="e">
        <f ca="1">EfW!N45+"Ug1!hP"</f>
        <v>#VALUE!</v>
      </c>
      <c r="IJ23" t="e">
        <f ca="1">EfW!O45+"Ug1!hQ"</f>
        <v>#VALUE!</v>
      </c>
      <c r="IK23" t="e">
        <f ca="1">EfW!P45+"Ug1!hR"</f>
        <v>#VALUE!</v>
      </c>
      <c r="IL23" t="e">
        <f ca="1">EfW!Q45+"Ug1!hS"</f>
        <v>#VALUE!</v>
      </c>
      <c r="IM23" t="e">
        <f ca="1">EfW!R45+"Ug1!hT"</f>
        <v>#VALUE!</v>
      </c>
      <c r="IN23" t="e">
        <f ca="1">EfW!S45+"Ug1!hU"</f>
        <v>#VALUE!</v>
      </c>
      <c r="IO23" t="e">
        <f ca="1">EfW!T45+"Ug1!hV"</f>
        <v>#VALUE!</v>
      </c>
      <c r="IP23" t="e">
        <f ca="1">EfW!U45+"Ug1!hW"</f>
        <v>#VALUE!</v>
      </c>
      <c r="IQ23" t="e">
        <f ca="1">EfW!V45+"Ug1!hX"</f>
        <v>#VALUE!</v>
      </c>
      <c r="IR23" t="e">
        <f ca="1">EfW!W45+"Ug1!hY"</f>
        <v>#VALUE!</v>
      </c>
      <c r="IS23" t="e">
        <f ca="1">EfW!X45+"Ug1!hZ"</f>
        <v>#VALUE!</v>
      </c>
      <c r="IT23" t="e">
        <f ca="1">EfW!Y45+"Ug1!h["</f>
        <v>#VALUE!</v>
      </c>
      <c r="IU23" t="e">
        <f ca="1">EfW!Z45+"Ug1!h\"</f>
        <v>#VALUE!</v>
      </c>
      <c r="IV23" t="e">
        <f ca="1">EfW!AA45+"Ug1!h]"</f>
        <v>#VALUE!</v>
      </c>
    </row>
    <row r="24" spans="6:256" x14ac:dyDescent="0.2">
      <c r="F24" t="e">
        <f ca="1">EfW!AB45+"Ug1!h^"</f>
        <v>#VALUE!</v>
      </c>
      <c r="G24" t="e">
        <f ca="1">EfW!AC45+"Ug1!h_"</f>
        <v>#VALUE!</v>
      </c>
      <c r="H24" t="e">
        <f ca="1">EfW!AD45+"Ug1!h`"</f>
        <v>#VALUE!</v>
      </c>
      <c r="I24" t="e">
        <f ca="1">EfW!AE45+"Ug1!ha"</f>
        <v>#VALUE!</v>
      </c>
      <c r="J24" t="e">
        <f ca="1">EfW!AF45+"Ug1!hb"</f>
        <v>#VALUE!</v>
      </c>
      <c r="K24" t="e">
        <f ca="1">EfW!AG45+"Ug1!hc"</f>
        <v>#VALUE!</v>
      </c>
      <c r="L24" t="e">
        <f ca="1">EfW!AH45+"Ug1!hd"</f>
        <v>#VALUE!</v>
      </c>
      <c r="M24" t="e">
        <f ca="1">EfW!AI45+"Ug1!he"</f>
        <v>#VALUE!</v>
      </c>
      <c r="N24" t="e">
        <f ca="1">EfW!AJ45+"Ug1!hf"</f>
        <v>#VALUE!</v>
      </c>
      <c r="O24" t="e">
        <f ca="1">EfW!AK45+"Ug1!hg"</f>
        <v>#VALUE!</v>
      </c>
      <c r="P24" t="e">
        <f ca="1">EfW!AL45+"Ug1!hh"</f>
        <v>#VALUE!</v>
      </c>
      <c r="Q24" t="e">
        <f ca="1">EfW!AM45+"Ug1!hi"</f>
        <v>#VALUE!</v>
      </c>
      <c r="R24" t="e">
        <f ca="1">EfW!AN45+"Ug1!hj"</f>
        <v>#VALUE!</v>
      </c>
      <c r="S24" t="e">
        <f ca="1">EfW!AO45+"Ug1!hk"</f>
        <v>#VALUE!</v>
      </c>
      <c r="T24" t="e">
        <f ca="1">EfW!AP45+"Ug1!hl"</f>
        <v>#VALUE!</v>
      </c>
      <c r="U24" t="e">
        <f ca="1">EfW!AQ45+"Ug1!hm"</f>
        <v>#VALUE!</v>
      </c>
      <c r="V24" t="e">
        <f ca="1">EfW!AR45+"Ug1!hn"</f>
        <v>#VALUE!</v>
      </c>
      <c r="W24" t="e">
        <f ca="1">EfW!AS45+"Ug1!ho"</f>
        <v>#VALUE!</v>
      </c>
      <c r="X24" t="e">
        <f ca="1">EfW!AT45+"Ug1!hp"</f>
        <v>#VALUE!</v>
      </c>
      <c r="Y24" t="e">
        <f ca="1">EfW!AU45+"Ug1!hq"</f>
        <v>#VALUE!</v>
      </c>
      <c r="Z24" t="e">
        <f ca="1">EfW!AV45+"Ug1!hr"</f>
        <v>#VALUE!</v>
      </c>
      <c r="AA24" t="e">
        <f ca="1">EfW!AW45+"Ug1!hs"</f>
        <v>#VALUE!</v>
      </c>
      <c r="AB24" t="e">
        <f ca="1">EfW!AX45+"Ug1!ht"</f>
        <v>#VALUE!</v>
      </c>
      <c r="AC24" t="e">
        <f ca="1">EfW!AY45+"Ug1!hu"</f>
        <v>#VALUE!</v>
      </c>
      <c r="AD24" t="e">
        <f ca="1">EfW!AZ45+"Ug1!hv"</f>
        <v>#VALUE!</v>
      </c>
      <c r="AE24" t="e">
        <f ca="1">EfW!BA45+"Ug1!hw"</f>
        <v>#VALUE!</v>
      </c>
      <c r="AF24" t="e">
        <f ca="1">EfW!BB45+"Ug1!hx"</f>
        <v>#VALUE!</v>
      </c>
      <c r="AG24" t="e">
        <f ca="1">EfW!BC45+"Ug1!hy"</f>
        <v>#VALUE!</v>
      </c>
      <c r="AH24" t="e">
        <f ca="1">EfW!BD45+"Ug1!hz"</f>
        <v>#VALUE!</v>
      </c>
      <c r="AI24" t="e">
        <f ca="1">EfW!BE45+"Ug1!h{"</f>
        <v>#VALUE!</v>
      </c>
      <c r="AJ24" t="e">
        <f ca="1">EfW!BF45+"Ug1!h|"</f>
        <v>#VALUE!</v>
      </c>
      <c r="AK24" t="e">
        <f ca="1">EfW!BG45+"Ug1!h}"</f>
        <v>#VALUE!</v>
      </c>
      <c r="AL24" t="e">
        <f ca="1">EfW!BH45+"Ug1!h~"</f>
        <v>#VALUE!</v>
      </c>
      <c r="AM24" t="e">
        <f ca="1">EfW!BI45+"Ug1!i#"</f>
        <v>#VALUE!</v>
      </c>
      <c r="AN24" t="e">
        <f ca="1">EfW!BJ45+"Ug1!i$"</f>
        <v>#VALUE!</v>
      </c>
      <c r="AO24" t="e">
        <f ca="1">EfW!BK45+"Ug1!i%"</f>
        <v>#VALUE!</v>
      </c>
      <c r="AP24" t="e">
        <f ca="1">EfW!BL45+"Ug1!i&amp;"</f>
        <v>#VALUE!</v>
      </c>
      <c r="AQ24" t="e">
        <f ca="1">EfW!BM45+"Ug1!i'"</f>
        <v>#VALUE!</v>
      </c>
      <c r="AR24" t="e">
        <f ca="1">EfW!BN45+"Ug1!i("</f>
        <v>#VALUE!</v>
      </c>
      <c r="AS24" t="e">
        <f ca="1">EfW!BO45+"Ug1!i)"</f>
        <v>#VALUE!</v>
      </c>
      <c r="AT24" t="e">
        <f ca="1">EfW!BP45+"Ug1!i."</f>
        <v>#VALUE!</v>
      </c>
      <c r="AU24" t="e">
        <f ca="1">EfW!BQ45+"Ug1!i/"</f>
        <v>#VALUE!</v>
      </c>
      <c r="AV24" t="e">
        <f ca="1">EfW!BR45+"Ug1!i0"</f>
        <v>#VALUE!</v>
      </c>
      <c r="AW24" t="e">
        <f ca="1">EfW!BS45+"Ug1!i1"</f>
        <v>#VALUE!</v>
      </c>
      <c r="AX24" t="e">
        <f ca="1">EfW!BT45+"Ug1!i2"</f>
        <v>#VALUE!</v>
      </c>
      <c r="AY24" t="e">
        <f ca="1">EfW!BU45+"Ug1!i3"</f>
        <v>#VALUE!</v>
      </c>
      <c r="AZ24" t="e">
        <f ca="1">EfW!BV45+"Ug1!i4"</f>
        <v>#VALUE!</v>
      </c>
      <c r="BA24" t="e">
        <f ca="1">EfW!BW45+"Ug1!i5"</f>
        <v>#VALUE!</v>
      </c>
      <c r="BB24" t="e">
        <f ca="1">EfW!BX45+"Ug1!i6"</f>
        <v>#VALUE!</v>
      </c>
      <c r="BC24" t="e">
        <f ca="1">EfW!BY45+"Ug1!i7"</f>
        <v>#VALUE!</v>
      </c>
      <c r="BD24" t="e">
        <f ca="1">EfW!A46+"Ug1!i8"</f>
        <v>#VALUE!</v>
      </c>
      <c r="BE24" t="e">
        <f ca="1">EfW!B46+"Ug1!i9"</f>
        <v>#VALUE!</v>
      </c>
      <c r="BF24" t="e">
        <f ca="1">EfW!C46+"Ug1!i:"</f>
        <v>#VALUE!</v>
      </c>
      <c r="BG24" t="e">
        <f ca="1">EfW!D46+"Ug1!i;"</f>
        <v>#VALUE!</v>
      </c>
      <c r="BH24" t="e">
        <f ca="1">EfW!E47+"Ug1!i&lt;"</f>
        <v>#VALUE!</v>
      </c>
      <c r="BI24" t="e">
        <f ca="1">EfW!F47+"Ug1!i="</f>
        <v>#VALUE!</v>
      </c>
      <c r="BJ24" t="e">
        <f ca="1">EfW!G47+"Ug1!i&gt;"</f>
        <v>#VALUE!</v>
      </c>
      <c r="BK24" t="e">
        <f ca="1">EfW!E48+"Ug1!i?"</f>
        <v>#VALUE!</v>
      </c>
      <c r="BL24" t="e">
        <f ca="1">EfW!F48+"Ug1!i@"</f>
        <v>#VALUE!</v>
      </c>
      <c r="BM24" t="e">
        <f ca="1">EfW!G48+"Ug1!iA"</f>
        <v>#VALUE!</v>
      </c>
      <c r="BN24" t="e">
        <f ca="1">EfW!H48+"Ug1!iB"</f>
        <v>#VALUE!</v>
      </c>
      <c r="BO24" t="e">
        <f ca="1">EfW!I48+"Ug1!iC"</f>
        <v>#VALUE!</v>
      </c>
      <c r="BP24" t="e">
        <f ca="1">EfW!J48+"Ug1!iD"</f>
        <v>#VALUE!</v>
      </c>
      <c r="BQ24" t="e">
        <f ca="1">EfW!K48+"Ug1!iE"</f>
        <v>#VALUE!</v>
      </c>
      <c r="BR24" t="e">
        <f ca="1">EfW!L48+"Ug1!iF"</f>
        <v>#VALUE!</v>
      </c>
      <c r="BS24" t="e">
        <f ca="1">EfW!M48+"Ug1!iG"</f>
        <v>#VALUE!</v>
      </c>
      <c r="BT24" t="e">
        <f ca="1">EfW!N48+"Ug1!iH"</f>
        <v>#VALUE!</v>
      </c>
      <c r="BU24" t="e">
        <f ca="1">EfW!O48+"Ug1!iI"</f>
        <v>#VALUE!</v>
      </c>
      <c r="BV24" t="e">
        <f ca="1">EfW!P48+"Ug1!iJ"</f>
        <v>#VALUE!</v>
      </c>
      <c r="BW24" t="e">
        <f ca="1">EfW!Q48+"Ug1!iK"</f>
        <v>#VALUE!</v>
      </c>
      <c r="BX24" t="e">
        <f ca="1">EfW!R48+"Ug1!iL"</f>
        <v>#VALUE!</v>
      </c>
      <c r="BY24" t="e">
        <f ca="1">EfW!S48+"Ug1!iM"</f>
        <v>#VALUE!</v>
      </c>
      <c r="BZ24" t="e">
        <f ca="1">EfW!T48+"Ug1!iN"</f>
        <v>#VALUE!</v>
      </c>
      <c r="CA24" t="e">
        <f ca="1">EfW!U48+"Ug1!iO"</f>
        <v>#VALUE!</v>
      </c>
      <c r="CB24" t="e">
        <f ca="1">EfW!V48+"Ug1!iP"</f>
        <v>#VALUE!</v>
      </c>
      <c r="CC24" t="e">
        <f ca="1">EfW!W48+"Ug1!iQ"</f>
        <v>#VALUE!</v>
      </c>
      <c r="CD24" t="e">
        <f ca="1">EfW!X48+"Ug1!iR"</f>
        <v>#VALUE!</v>
      </c>
      <c r="CE24" t="e">
        <f ca="1">EfW!Y48+"Ug1!iS"</f>
        <v>#VALUE!</v>
      </c>
      <c r="CF24" t="e">
        <f ca="1">EfW!Z48+"Ug1!iT"</f>
        <v>#VALUE!</v>
      </c>
      <c r="CG24" t="e">
        <f ca="1">EfW!AA48+"Ug1!iU"</f>
        <v>#VALUE!</v>
      </c>
      <c r="CH24" t="e">
        <f ca="1">EfW!AB48+"Ug1!iV"</f>
        <v>#VALUE!</v>
      </c>
      <c r="CI24" t="e">
        <f ca="1">EfW!AC48+"Ug1!iW"</f>
        <v>#VALUE!</v>
      </c>
      <c r="CJ24" t="e">
        <f ca="1">EfW!AD48+"Ug1!iX"</f>
        <v>#VALUE!</v>
      </c>
      <c r="CK24" t="e">
        <f ca="1">EfW!AE48+"Ug1!iY"</f>
        <v>#VALUE!</v>
      </c>
      <c r="CL24" t="e">
        <f ca="1">EfW!AF48+"Ug1!iZ"</f>
        <v>#VALUE!</v>
      </c>
      <c r="CM24" t="e">
        <f ca="1">EfW!AG48+"Ug1!i["</f>
        <v>#VALUE!</v>
      </c>
      <c r="CN24" t="e">
        <f ca="1">EfW!AH48+"Ug1!i\"</f>
        <v>#VALUE!</v>
      </c>
      <c r="CO24" t="e">
        <f ca="1">EfW!AI48+"Ug1!i]"</f>
        <v>#VALUE!</v>
      </c>
      <c r="CP24" t="e">
        <f ca="1">EfW!AJ48+"Ug1!i^"</f>
        <v>#VALUE!</v>
      </c>
      <c r="CQ24" t="e">
        <f ca="1">EfW!AK48+"Ug1!i_"</f>
        <v>#VALUE!</v>
      </c>
      <c r="CR24" t="e">
        <f ca="1">EfW!AL48+"Ug1!i`"</f>
        <v>#VALUE!</v>
      </c>
      <c r="CS24" t="e">
        <f ca="1">EfW!AM48+"Ug1!ia"</f>
        <v>#VALUE!</v>
      </c>
      <c r="CT24" t="e">
        <f ca="1">EfW!AN48+"Ug1!ib"</f>
        <v>#VALUE!</v>
      </c>
      <c r="CU24" t="e">
        <f ca="1">EfW!AO48+"Ug1!ic"</f>
        <v>#VALUE!</v>
      </c>
      <c r="CV24" t="e">
        <f ca="1">EfW!AP48+"Ug1!id"</f>
        <v>#VALUE!</v>
      </c>
      <c r="CW24" t="e">
        <f ca="1">EfW!AQ48+"Ug1!ie"</f>
        <v>#VALUE!</v>
      </c>
      <c r="CX24" t="e">
        <f ca="1">EfW!AR48+"Ug1!if"</f>
        <v>#VALUE!</v>
      </c>
      <c r="CY24" t="e">
        <f ca="1">EfW!AS48+"Ug1!ig"</f>
        <v>#VALUE!</v>
      </c>
      <c r="CZ24" t="e">
        <f ca="1">EfW!AT48+"Ug1!ih"</f>
        <v>#VALUE!</v>
      </c>
      <c r="DA24" t="e">
        <f ca="1">EfW!AU48+"Ug1!ii"</f>
        <v>#VALUE!</v>
      </c>
      <c r="DB24" t="e">
        <f ca="1">EfW!AV48+"Ug1!ij"</f>
        <v>#VALUE!</v>
      </c>
      <c r="DC24" t="e">
        <f ca="1">EfW!AW48+"Ug1!ik"</f>
        <v>#VALUE!</v>
      </c>
      <c r="DD24" t="e">
        <f ca="1">EfW!AX48+"Ug1!il"</f>
        <v>#VALUE!</v>
      </c>
      <c r="DE24" t="e">
        <f ca="1">EfW!AY48+"Ug1!im"</f>
        <v>#VALUE!</v>
      </c>
      <c r="DF24" t="e">
        <f ca="1">EfW!AZ48+"Ug1!in"</f>
        <v>#VALUE!</v>
      </c>
      <c r="DG24" t="e">
        <f ca="1">EfW!BA48+"Ug1!io"</f>
        <v>#VALUE!</v>
      </c>
      <c r="DH24" t="e">
        <f ca="1">EfW!BB48+"Ug1!ip"</f>
        <v>#VALUE!</v>
      </c>
      <c r="DI24" t="e">
        <f ca="1">EfW!BC48+"Ug1!iq"</f>
        <v>#VALUE!</v>
      </c>
      <c r="DJ24" t="e">
        <f ca="1">EfW!BD48+"Ug1!ir"</f>
        <v>#VALUE!</v>
      </c>
      <c r="DK24" t="e">
        <f ca="1">EfW!BE48+"Ug1!is"</f>
        <v>#VALUE!</v>
      </c>
      <c r="DL24" t="e">
        <f ca="1">EfW!BF48+"Ug1!it"</f>
        <v>#VALUE!</v>
      </c>
      <c r="DM24" t="e">
        <f ca="1">EfW!BG48+"Ug1!iu"</f>
        <v>#VALUE!</v>
      </c>
      <c r="DN24" t="e">
        <f ca="1">EfW!BH48+"Ug1!iv"</f>
        <v>#VALUE!</v>
      </c>
      <c r="DO24" t="e">
        <f ca="1">EfW!BI48+"Ug1!iw"</f>
        <v>#VALUE!</v>
      </c>
      <c r="DP24" t="e">
        <f ca="1">EfW!BJ48+"Ug1!ix"</f>
        <v>#VALUE!</v>
      </c>
      <c r="DQ24" t="e">
        <f ca="1">EfW!BK48+"Ug1!iy"</f>
        <v>#VALUE!</v>
      </c>
      <c r="DR24" t="e">
        <f ca="1">EfW!BL48+"Ug1!iz"</f>
        <v>#VALUE!</v>
      </c>
      <c r="DS24" t="e">
        <f ca="1">EfW!BM48+"Ug1!i{"</f>
        <v>#VALUE!</v>
      </c>
      <c r="DT24" t="e">
        <f ca="1">EfW!BN48+"Ug1!i|"</f>
        <v>#VALUE!</v>
      </c>
      <c r="DU24" t="e">
        <f ca="1">EfW!BO48+"Ug1!i}"</f>
        <v>#VALUE!</v>
      </c>
      <c r="DV24" t="e">
        <f ca="1">EfW!BP48+"Ug1!i~"</f>
        <v>#VALUE!</v>
      </c>
      <c r="DW24" t="e">
        <f ca="1">EfW!BQ48+"Ug1!j#"</f>
        <v>#VALUE!</v>
      </c>
      <c r="DX24" t="e">
        <f ca="1">EfW!BR48+"Ug1!j$"</f>
        <v>#VALUE!</v>
      </c>
      <c r="DY24" t="e">
        <f ca="1">EfW!BS48+"Ug1!j%"</f>
        <v>#VALUE!</v>
      </c>
      <c r="DZ24" t="e">
        <f ca="1">EfW!BT48+"Ug1!j&amp;"</f>
        <v>#VALUE!</v>
      </c>
      <c r="EA24" t="e">
        <f ca="1">EfW!BU48+"Ug1!j'"</f>
        <v>#VALUE!</v>
      </c>
      <c r="EB24" t="e">
        <f ca="1">EfW!BV48+"Ug1!j("</f>
        <v>#VALUE!</v>
      </c>
      <c r="EC24" t="e">
        <f ca="1">EfW!BW48+"Ug1!j)"</f>
        <v>#VALUE!</v>
      </c>
      <c r="ED24" t="e">
        <f ca="1">EfW!BX48+"Ug1!j."</f>
        <v>#VALUE!</v>
      </c>
      <c r="EE24" t="e">
        <f ca="1">EfW!BY48+"Ug1!j/"</f>
        <v>#VALUE!</v>
      </c>
      <c r="EF24" t="e">
        <f ca="1">EfW!A49+"Ug1!j0"</f>
        <v>#VALUE!</v>
      </c>
      <c r="EG24" t="e">
        <f ca="1">EfW!B49+"Ug1!j1"</f>
        <v>#VALUE!</v>
      </c>
      <c r="EH24" t="e">
        <f ca="1">EfW!C49+"Ug1!j2"</f>
        <v>#VALUE!</v>
      </c>
      <c r="EI24" t="e">
        <f ca="1">EfW!D49+"Ug1!j3"</f>
        <v>#VALUE!</v>
      </c>
      <c r="EJ24" t="e">
        <f ca="1">EfW!E49+"Ug1!j4"</f>
        <v>#VALUE!</v>
      </c>
      <c r="EK24" t="e">
        <f ca="1">EfW!F49+"Ug1!j5"</f>
        <v>#VALUE!</v>
      </c>
      <c r="EL24" t="e">
        <f ca="1">EfW!G49+"Ug1!j6"</f>
        <v>#VALUE!</v>
      </c>
      <c r="EM24" t="e">
        <f ca="1">EfW!H49+"Ug1!j7"</f>
        <v>#VALUE!</v>
      </c>
      <c r="EN24" t="e">
        <f ca="1">EfW!I49+"Ug1!j8"</f>
        <v>#VALUE!</v>
      </c>
      <c r="EO24" t="e">
        <f ca="1">EfW!J49+"Ug1!j9"</f>
        <v>#VALUE!</v>
      </c>
      <c r="EP24" t="e">
        <f ca="1">EfW!K49+"Ug1!j:"</f>
        <v>#VALUE!</v>
      </c>
      <c r="EQ24" t="e">
        <f ca="1">EfW!L49+"Ug1!j;"</f>
        <v>#VALUE!</v>
      </c>
      <c r="ER24" t="e">
        <f ca="1">EfW!M49+"Ug1!j&lt;"</f>
        <v>#VALUE!</v>
      </c>
      <c r="ES24" t="e">
        <f ca="1">EfW!N49+"Ug1!j="</f>
        <v>#VALUE!</v>
      </c>
      <c r="ET24" t="e">
        <f ca="1">EfW!O49+"Ug1!j&gt;"</f>
        <v>#VALUE!</v>
      </c>
      <c r="EU24" t="e">
        <f ca="1">EfW!P49+"Ug1!j?"</f>
        <v>#VALUE!</v>
      </c>
      <c r="EV24" t="e">
        <f ca="1">EfW!Q49+"Ug1!j@"</f>
        <v>#VALUE!</v>
      </c>
      <c r="EW24" t="e">
        <f ca="1">EfW!R49+"Ug1!jA"</f>
        <v>#VALUE!</v>
      </c>
      <c r="EX24" t="e">
        <f ca="1">EfW!S49+"Ug1!jB"</f>
        <v>#VALUE!</v>
      </c>
      <c r="EY24" t="e">
        <f ca="1">EfW!T49+"Ug1!jC"</f>
        <v>#VALUE!</v>
      </c>
      <c r="EZ24" t="e">
        <f ca="1">EfW!U49+"Ug1!jD"</f>
        <v>#VALUE!</v>
      </c>
      <c r="FA24" t="e">
        <f ca="1">EfW!V49+"Ug1!jE"</f>
        <v>#VALUE!</v>
      </c>
      <c r="FB24" t="e">
        <f ca="1">EfW!W49+"Ug1!jF"</f>
        <v>#VALUE!</v>
      </c>
      <c r="FC24" t="e">
        <f ca="1">EfW!X49+"Ug1!jG"</f>
        <v>#VALUE!</v>
      </c>
      <c r="FD24" t="e">
        <f ca="1">EfW!Y49+"Ug1!jH"</f>
        <v>#VALUE!</v>
      </c>
      <c r="FE24" t="e">
        <f ca="1">EfW!Z49+"Ug1!jI"</f>
        <v>#VALUE!</v>
      </c>
      <c r="FF24" t="e">
        <f ca="1">EfW!AA49+"Ug1!jJ"</f>
        <v>#VALUE!</v>
      </c>
      <c r="FG24" t="e">
        <f ca="1">EfW!AB49+"Ug1!jK"</f>
        <v>#VALUE!</v>
      </c>
      <c r="FH24" t="e">
        <f ca="1">EfW!AC49+"Ug1!jL"</f>
        <v>#VALUE!</v>
      </c>
      <c r="FI24" t="e">
        <f ca="1">EfW!AD49+"Ug1!jM"</f>
        <v>#VALUE!</v>
      </c>
      <c r="FJ24" t="e">
        <f ca="1">EfW!AE49+"Ug1!jN"</f>
        <v>#VALUE!</v>
      </c>
      <c r="FK24" t="e">
        <f ca="1">EfW!AF49+"Ug1!jO"</f>
        <v>#VALUE!</v>
      </c>
      <c r="FL24" t="e">
        <f ca="1">EfW!AG49+"Ug1!jP"</f>
        <v>#VALUE!</v>
      </c>
      <c r="FM24" t="e">
        <f ca="1">EfW!AH49+"Ug1!jQ"</f>
        <v>#VALUE!</v>
      </c>
      <c r="FN24" t="e">
        <f ca="1">EfW!AI49+"Ug1!jR"</f>
        <v>#VALUE!</v>
      </c>
      <c r="FO24" t="e">
        <f ca="1">EfW!AJ49+"Ug1!jS"</f>
        <v>#VALUE!</v>
      </c>
      <c r="FP24" t="e">
        <f ca="1">EfW!AK49+"Ug1!jT"</f>
        <v>#VALUE!</v>
      </c>
      <c r="FQ24" t="e">
        <f ca="1">EfW!AL49+"Ug1!jU"</f>
        <v>#VALUE!</v>
      </c>
      <c r="FR24" t="e">
        <f ca="1">EfW!AM49+"Ug1!jV"</f>
        <v>#VALUE!</v>
      </c>
      <c r="FS24" t="e">
        <f ca="1">EfW!AN49+"Ug1!jW"</f>
        <v>#VALUE!</v>
      </c>
      <c r="FT24" t="e">
        <f ca="1">EfW!AO49+"Ug1!jX"</f>
        <v>#VALUE!</v>
      </c>
      <c r="FU24" t="e">
        <f ca="1">EfW!AP49+"Ug1!jY"</f>
        <v>#VALUE!</v>
      </c>
      <c r="FV24" t="e">
        <f ca="1">EfW!AQ49+"Ug1!jZ"</f>
        <v>#VALUE!</v>
      </c>
      <c r="FW24" t="e">
        <f ca="1">EfW!AR49+"Ug1!j["</f>
        <v>#VALUE!</v>
      </c>
      <c r="FX24" t="e">
        <f ca="1">EfW!AS49+"Ug1!j\"</f>
        <v>#VALUE!</v>
      </c>
      <c r="FY24" t="e">
        <f ca="1">EfW!AT49+"Ug1!j]"</f>
        <v>#VALUE!</v>
      </c>
      <c r="FZ24" t="e">
        <f ca="1">EfW!AU49+"Ug1!j^"</f>
        <v>#VALUE!</v>
      </c>
      <c r="GA24" t="e">
        <f ca="1">EfW!AV49+"Ug1!j_"</f>
        <v>#VALUE!</v>
      </c>
      <c r="GB24" t="e">
        <f ca="1">EfW!AW49+"Ug1!j`"</f>
        <v>#VALUE!</v>
      </c>
      <c r="GC24" t="e">
        <f ca="1">EfW!AX49+"Ug1!ja"</f>
        <v>#VALUE!</v>
      </c>
      <c r="GD24" t="e">
        <f ca="1">EfW!AY49+"Ug1!jb"</f>
        <v>#VALUE!</v>
      </c>
      <c r="GE24" t="e">
        <f ca="1">EfW!AZ49+"Ug1!jc"</f>
        <v>#VALUE!</v>
      </c>
      <c r="GF24" t="e">
        <f ca="1">EfW!BA49+"Ug1!jd"</f>
        <v>#VALUE!</v>
      </c>
      <c r="GG24" t="e">
        <f ca="1">EfW!BB49+"Ug1!je"</f>
        <v>#VALUE!</v>
      </c>
      <c r="GH24" t="e">
        <f ca="1">EfW!BC49+"Ug1!jf"</f>
        <v>#VALUE!</v>
      </c>
      <c r="GI24" t="e">
        <f ca="1">EfW!BD49+"Ug1!jg"</f>
        <v>#VALUE!</v>
      </c>
      <c r="GJ24" t="e">
        <f ca="1">EfW!BE49+"Ug1!jh"</f>
        <v>#VALUE!</v>
      </c>
      <c r="GK24" t="e">
        <f ca="1">EfW!BF49+"Ug1!ji"</f>
        <v>#VALUE!</v>
      </c>
      <c r="GL24" t="e">
        <f ca="1">EfW!BG49+"Ug1!jj"</f>
        <v>#VALUE!</v>
      </c>
      <c r="GM24" t="e">
        <f ca="1">EfW!BH49+"Ug1!jk"</f>
        <v>#VALUE!</v>
      </c>
      <c r="GN24" t="e">
        <f ca="1">EfW!BI49+"Ug1!jl"</f>
        <v>#VALUE!</v>
      </c>
      <c r="GO24" t="e">
        <f ca="1">EfW!BJ49+"Ug1!jm"</f>
        <v>#VALUE!</v>
      </c>
      <c r="GP24" t="e">
        <f ca="1">EfW!BK49+"Ug1!jn"</f>
        <v>#VALUE!</v>
      </c>
      <c r="GQ24" t="e">
        <f ca="1">EfW!BL49+"Ug1!jo"</f>
        <v>#VALUE!</v>
      </c>
      <c r="GR24" t="e">
        <f ca="1">EfW!BM49+"Ug1!jp"</f>
        <v>#VALUE!</v>
      </c>
      <c r="GS24" t="e">
        <f ca="1">EfW!BN49+"Ug1!jq"</f>
        <v>#VALUE!</v>
      </c>
      <c r="GT24" t="e">
        <f ca="1">EfW!BO49+"Ug1!jr"</f>
        <v>#VALUE!</v>
      </c>
      <c r="GU24" t="e">
        <f ca="1">EfW!BP49+"Ug1!js"</f>
        <v>#VALUE!</v>
      </c>
      <c r="GV24" t="e">
        <f ca="1">EfW!BQ49+"Ug1!jt"</f>
        <v>#VALUE!</v>
      </c>
      <c r="GW24" t="e">
        <f ca="1">EfW!BR49+"Ug1!ju"</f>
        <v>#VALUE!</v>
      </c>
      <c r="GX24" t="e">
        <f ca="1">EfW!BS49+"Ug1!jv"</f>
        <v>#VALUE!</v>
      </c>
      <c r="GY24" t="e">
        <f ca="1">EfW!BT49+"Ug1!jw"</f>
        <v>#VALUE!</v>
      </c>
      <c r="GZ24" t="e">
        <f ca="1">EfW!BU49+"Ug1!jx"</f>
        <v>#VALUE!</v>
      </c>
      <c r="HA24" t="e">
        <f ca="1">EfW!BV49+"Ug1!jy"</f>
        <v>#VALUE!</v>
      </c>
      <c r="HB24" t="e">
        <f ca="1">EfW!BW49+"Ug1!jz"</f>
        <v>#VALUE!</v>
      </c>
      <c r="HC24" t="e">
        <f ca="1">EfW!BX49+"Ug1!j{"</f>
        <v>#VALUE!</v>
      </c>
      <c r="HD24" t="e">
        <f ca="1">EfW!BY49+"Ug1!j|"</f>
        <v>#VALUE!</v>
      </c>
      <c r="HE24" t="e">
        <f ca="1">EfW!E50+"Ug1!j}"</f>
        <v>#VALUE!</v>
      </c>
      <c r="HF24" t="e">
        <f ca="1">EfW!G50+"Ug1!j~"</f>
        <v>#VALUE!</v>
      </c>
      <c r="HG24" t="e">
        <f ca="1">EfW!H50+"Ug1!k#"</f>
        <v>#VALUE!</v>
      </c>
      <c r="HH24" t="e">
        <f ca="1">EfW!J50+"Ug1!k$"</f>
        <v>#VALUE!</v>
      </c>
      <c r="HI24" t="e">
        <f ca="1">EfW!K50+"Ug1!k%"</f>
        <v>#VALUE!</v>
      </c>
      <c r="HJ24" t="e">
        <f ca="1">EfW!L50+"Ug1!k&amp;"</f>
        <v>#VALUE!</v>
      </c>
      <c r="HK24" t="e">
        <f ca="1">EfW!M50+"Ug1!k'"</f>
        <v>#VALUE!</v>
      </c>
      <c r="HL24" t="e">
        <f ca="1">EfW!N50+"Ug1!k("</f>
        <v>#VALUE!</v>
      </c>
      <c r="HM24" t="e">
        <f ca="1">EfW!O50+"Ug1!k)"</f>
        <v>#VALUE!</v>
      </c>
      <c r="HN24" t="e">
        <f ca="1">EfW!P50+"Ug1!k."</f>
        <v>#VALUE!</v>
      </c>
      <c r="HO24" t="e">
        <f ca="1">EfW!Q50+"Ug1!k/"</f>
        <v>#VALUE!</v>
      </c>
      <c r="HP24" t="e">
        <f ca="1">EfW!R50+"Ug1!k0"</f>
        <v>#VALUE!</v>
      </c>
      <c r="HQ24" t="e">
        <f ca="1">EfW!S50+"Ug1!k1"</f>
        <v>#VALUE!</v>
      </c>
      <c r="HR24" t="e">
        <f ca="1">EfW!T50+"Ug1!k2"</f>
        <v>#VALUE!</v>
      </c>
      <c r="HS24" t="e">
        <f ca="1">EfW!U50+"Ug1!k3"</f>
        <v>#VALUE!</v>
      </c>
      <c r="HT24" t="e">
        <f ca="1">EfW!V50+"Ug1!k4"</f>
        <v>#VALUE!</v>
      </c>
      <c r="HU24" t="e">
        <f ca="1">EfW!W50+"Ug1!k5"</f>
        <v>#VALUE!</v>
      </c>
      <c r="HV24" t="e">
        <f ca="1">EfW!X50+"Ug1!k6"</f>
        <v>#VALUE!</v>
      </c>
      <c r="HW24" t="e">
        <f ca="1">EfW!Y50+"Ug1!k7"</f>
        <v>#VALUE!</v>
      </c>
      <c r="HX24" t="e">
        <f ca="1">EfW!Z50+"Ug1!k8"</f>
        <v>#VALUE!</v>
      </c>
      <c r="HY24" t="e">
        <f ca="1">EfW!AA50+"Ug1!k9"</f>
        <v>#VALUE!</v>
      </c>
      <c r="HZ24" t="e">
        <f ca="1">EfW!AB50+"Ug1!k:"</f>
        <v>#VALUE!</v>
      </c>
      <c r="IA24" t="e">
        <f ca="1">EfW!AC50+"Ug1!k;"</f>
        <v>#VALUE!</v>
      </c>
      <c r="IB24" t="e">
        <f ca="1">EfW!AD50+"Ug1!k&lt;"</f>
        <v>#VALUE!</v>
      </c>
      <c r="IC24" t="e">
        <f ca="1">EfW!AE50+"Ug1!k="</f>
        <v>#VALUE!</v>
      </c>
      <c r="ID24" t="e">
        <f ca="1">EfW!AF50+"Ug1!k&gt;"</f>
        <v>#VALUE!</v>
      </c>
      <c r="IE24" t="e">
        <f ca="1">EfW!AG50+"Ug1!k?"</f>
        <v>#VALUE!</v>
      </c>
      <c r="IF24" t="e">
        <f ca="1">EfW!AH50+"Ug1!k@"</f>
        <v>#VALUE!</v>
      </c>
      <c r="IG24" t="e">
        <f ca="1">EfW!AI50+"Ug1!kA"</f>
        <v>#VALUE!</v>
      </c>
      <c r="IH24" t="e">
        <f ca="1">EfW!AJ50+"Ug1!kB"</f>
        <v>#VALUE!</v>
      </c>
      <c r="II24" t="e">
        <f ca="1">EfW!AK50+"Ug1!kC"</f>
        <v>#VALUE!</v>
      </c>
      <c r="IJ24" t="e">
        <f ca="1">EfW!AL50+"Ug1!kD"</f>
        <v>#VALUE!</v>
      </c>
      <c r="IK24" t="e">
        <f ca="1">EfW!AM50+"Ug1!kE"</f>
        <v>#VALUE!</v>
      </c>
      <c r="IL24" t="e">
        <f ca="1">EfW!AN50+"Ug1!kF"</f>
        <v>#VALUE!</v>
      </c>
      <c r="IM24" t="e">
        <f ca="1">EfW!AO50+"Ug1!kG"</f>
        <v>#VALUE!</v>
      </c>
      <c r="IN24" t="e">
        <f ca="1">EfW!AP50+"Ug1!kH"</f>
        <v>#VALUE!</v>
      </c>
      <c r="IO24" t="e">
        <f ca="1">EfW!AQ50+"Ug1!kI"</f>
        <v>#VALUE!</v>
      </c>
      <c r="IP24" t="e">
        <f ca="1">EfW!AR50+"Ug1!kJ"</f>
        <v>#VALUE!</v>
      </c>
      <c r="IQ24" t="e">
        <f ca="1">EfW!AS50+"Ug1!kK"</f>
        <v>#VALUE!</v>
      </c>
      <c r="IR24" t="e">
        <f ca="1">EfW!AT50+"Ug1!kL"</f>
        <v>#VALUE!</v>
      </c>
      <c r="IS24" t="e">
        <f ca="1">EfW!AU50+"Ug1!kM"</f>
        <v>#VALUE!</v>
      </c>
      <c r="IT24" t="e">
        <f ca="1">EfW!AV50+"Ug1!kN"</f>
        <v>#VALUE!</v>
      </c>
      <c r="IU24" t="e">
        <f ca="1">EfW!AW50+"Ug1!kO"</f>
        <v>#VALUE!</v>
      </c>
      <c r="IV24" t="e">
        <f ca="1">EfW!AX50+"Ug1!kP"</f>
        <v>#VALUE!</v>
      </c>
    </row>
    <row r="25" spans="6:256" x14ac:dyDescent="0.2">
      <c r="F25" t="e">
        <f ca="1">EfW!AY50+"Ug1!kQ"</f>
        <v>#VALUE!</v>
      </c>
      <c r="G25" t="e">
        <f ca="1">EfW!AZ50+"Ug1!kR"</f>
        <v>#VALUE!</v>
      </c>
      <c r="H25" t="e">
        <f ca="1">EfW!BA50+"Ug1!kS"</f>
        <v>#VALUE!</v>
      </c>
      <c r="I25" t="e">
        <f ca="1">EfW!BB50+"Ug1!kT"</f>
        <v>#VALUE!</v>
      </c>
      <c r="J25" t="e">
        <f ca="1">EfW!BC50+"Ug1!kU"</f>
        <v>#VALUE!</v>
      </c>
      <c r="K25" t="e">
        <f ca="1">EfW!BD50+"Ug1!kV"</f>
        <v>#VALUE!</v>
      </c>
      <c r="L25" t="e">
        <f ca="1">EfW!BE50+"Ug1!kW"</f>
        <v>#VALUE!</v>
      </c>
      <c r="M25" t="e">
        <f ca="1">EfW!BF50+"Ug1!kX"</f>
        <v>#VALUE!</v>
      </c>
      <c r="N25" t="e">
        <f ca="1">EfW!BG50+"Ug1!kY"</f>
        <v>#VALUE!</v>
      </c>
      <c r="O25" t="e">
        <f ca="1">EfW!BH50+"Ug1!kZ"</f>
        <v>#VALUE!</v>
      </c>
      <c r="P25" t="e">
        <f ca="1">EfW!BI50+"Ug1!k["</f>
        <v>#VALUE!</v>
      </c>
      <c r="Q25" t="e">
        <f ca="1">EfW!BJ50+"Ug1!k\"</f>
        <v>#VALUE!</v>
      </c>
      <c r="R25" t="e">
        <f ca="1">EfW!BK50+"Ug1!k]"</f>
        <v>#VALUE!</v>
      </c>
      <c r="S25" t="e">
        <f ca="1">EfW!BL50+"Ug1!k^"</f>
        <v>#VALUE!</v>
      </c>
      <c r="T25" t="e">
        <f ca="1">EfW!BM50+"Ug1!k_"</f>
        <v>#VALUE!</v>
      </c>
      <c r="U25" t="e">
        <f ca="1">EfW!BN50+"Ug1!k`"</f>
        <v>#VALUE!</v>
      </c>
      <c r="V25" t="e">
        <f ca="1">EfW!BO50+"Ug1!ka"</f>
        <v>#VALUE!</v>
      </c>
      <c r="W25" t="e">
        <f ca="1">EfW!BP50+"Ug1!kb"</f>
        <v>#VALUE!</v>
      </c>
      <c r="X25" t="e">
        <f ca="1">EfW!BQ50+"Ug1!kc"</f>
        <v>#VALUE!</v>
      </c>
      <c r="Y25" t="e">
        <f ca="1">EfW!BR50+"Ug1!kd"</f>
        <v>#VALUE!</v>
      </c>
      <c r="Z25" t="e">
        <f ca="1">EfW!BS50+"Ug1!ke"</f>
        <v>#VALUE!</v>
      </c>
      <c r="AA25" t="e">
        <f ca="1">EfW!BT50+"Ug1!kf"</f>
        <v>#VALUE!</v>
      </c>
      <c r="AB25" t="e">
        <f ca="1">EfW!BU50+"Ug1!kg"</f>
        <v>#VALUE!</v>
      </c>
      <c r="AC25" t="e">
        <f ca="1">EfW!BV50+"Ug1!kh"</f>
        <v>#VALUE!</v>
      </c>
      <c r="AD25" t="e">
        <f ca="1">EfW!BW50+"Ug1!ki"</f>
        <v>#VALUE!</v>
      </c>
      <c r="AE25" t="e">
        <f ca="1">EfW!BX50+"Ug1!kj"</f>
        <v>#VALUE!</v>
      </c>
      <c r="AF25" t="e">
        <f ca="1">EfW!BY50+"Ug1!kk"</f>
        <v>#VALUE!</v>
      </c>
      <c r="AG25" t="e">
        <f ca="1">EfW!B52+"Ug1!kl"</f>
        <v>#VALUE!</v>
      </c>
      <c r="AH25" t="e">
        <f ca="1">EfW!E53+"Ug1!km"</f>
        <v>#VALUE!</v>
      </c>
      <c r="AI25" t="e">
        <f ca="1">EfW!F53+"Ug1!kn"</f>
        <v>#VALUE!</v>
      </c>
      <c r="AJ25" t="e">
        <f ca="1">EfW!G53+"Ug1!ko"</f>
        <v>#VALUE!</v>
      </c>
      <c r="AK25" t="e">
        <f ca="1">EfW!H53+"Ug1!kp"</f>
        <v>#VALUE!</v>
      </c>
      <c r="AL25" t="e">
        <f ca="1">EfW!I53+"Ug1!kq"</f>
        <v>#VALUE!</v>
      </c>
      <c r="AM25" t="e">
        <f ca="1">EfW!J53+"Ug1!kr"</f>
        <v>#VALUE!</v>
      </c>
      <c r="AN25" t="e">
        <f ca="1">EfW!K53+"Ug1!ks"</f>
        <v>#VALUE!</v>
      </c>
      <c r="AO25" t="e">
        <f ca="1">EfW!L53+"Ug1!kt"</f>
        <v>#VALUE!</v>
      </c>
      <c r="AP25" t="e">
        <f ca="1">EfW!M53+"Ug1!ku"</f>
        <v>#VALUE!</v>
      </c>
      <c r="AQ25" t="e">
        <f ca="1">EfW!N53+"Ug1!kv"</f>
        <v>#VALUE!</v>
      </c>
      <c r="AR25" t="e">
        <f ca="1">EfW!O53+"Ug1!kw"</f>
        <v>#VALUE!</v>
      </c>
      <c r="AS25" t="e">
        <f ca="1">EfW!P53+"Ug1!kx"</f>
        <v>#VALUE!</v>
      </c>
      <c r="AT25" t="e">
        <f ca="1">EfW!Q53+"Ug1!ky"</f>
        <v>#VALUE!</v>
      </c>
      <c r="AU25" t="e">
        <f ca="1">EfW!R53+"Ug1!kz"</f>
        <v>#VALUE!</v>
      </c>
      <c r="AV25" t="e">
        <f ca="1">EfW!S53+"Ug1!k{"</f>
        <v>#VALUE!</v>
      </c>
      <c r="AW25" t="e">
        <f ca="1">EfW!T53+"Ug1!k|"</f>
        <v>#VALUE!</v>
      </c>
      <c r="AX25" t="e">
        <f ca="1">EfW!U53+"Ug1!k}"</f>
        <v>#VALUE!</v>
      </c>
      <c r="AY25" t="e">
        <f ca="1">EfW!V53+"Ug1!k~"</f>
        <v>#VALUE!</v>
      </c>
      <c r="AZ25" t="e">
        <f ca="1">EfW!W53+"Ug1!l#"</f>
        <v>#VALUE!</v>
      </c>
      <c r="BA25" t="e">
        <f ca="1">EfW!X53+"Ug1!l$"</f>
        <v>#VALUE!</v>
      </c>
      <c r="BB25" t="e">
        <f ca="1">EfW!Y53+"Ug1!l%"</f>
        <v>#VALUE!</v>
      </c>
      <c r="BC25" t="e">
        <f ca="1">EfW!Z53+"Ug1!l&amp;"</f>
        <v>#VALUE!</v>
      </c>
      <c r="BD25" t="e">
        <f ca="1">EfW!AA53+"Ug1!l'"</f>
        <v>#VALUE!</v>
      </c>
      <c r="BE25" t="e">
        <f ca="1">EfW!AB53+"Ug1!l("</f>
        <v>#VALUE!</v>
      </c>
      <c r="BF25" t="e">
        <f ca="1">EfW!AC53+"Ug1!l)"</f>
        <v>#VALUE!</v>
      </c>
      <c r="BG25" t="e">
        <f ca="1">EfW!AD53+"Ug1!l."</f>
        <v>#VALUE!</v>
      </c>
      <c r="BH25" t="e">
        <f ca="1">EfW!AE53+"Ug1!l/"</f>
        <v>#VALUE!</v>
      </c>
      <c r="BI25" t="e">
        <f ca="1">EfW!AF53+"Ug1!l0"</f>
        <v>#VALUE!</v>
      </c>
      <c r="BJ25" t="e">
        <f ca="1">EfW!AG53+"Ug1!l1"</f>
        <v>#VALUE!</v>
      </c>
      <c r="BK25" t="e">
        <f ca="1">EfW!AH53+"Ug1!l2"</f>
        <v>#VALUE!</v>
      </c>
      <c r="BL25" t="e">
        <f ca="1">EfW!AI53+"Ug1!l3"</f>
        <v>#VALUE!</v>
      </c>
      <c r="BM25" t="e">
        <f ca="1">EfW!AJ53+"Ug1!l4"</f>
        <v>#VALUE!</v>
      </c>
      <c r="BN25" t="e">
        <f ca="1">EfW!AK53+"Ug1!l5"</f>
        <v>#VALUE!</v>
      </c>
      <c r="BO25" t="e">
        <f ca="1">EfW!AL53+"Ug1!l6"</f>
        <v>#VALUE!</v>
      </c>
      <c r="BP25" t="e">
        <f ca="1">EfW!AM53+"Ug1!l7"</f>
        <v>#VALUE!</v>
      </c>
      <c r="BQ25" t="e">
        <f ca="1">EfW!AN53+"Ug1!l8"</f>
        <v>#VALUE!</v>
      </c>
      <c r="BR25" t="e">
        <f ca="1">EfW!AO53+"Ug1!l9"</f>
        <v>#VALUE!</v>
      </c>
      <c r="BS25" t="e">
        <f ca="1">EfW!AP53+"Ug1!l:"</f>
        <v>#VALUE!</v>
      </c>
      <c r="BT25" t="e">
        <f ca="1">EfW!AQ53+"Ug1!l;"</f>
        <v>#VALUE!</v>
      </c>
      <c r="BU25" t="e">
        <f ca="1">EfW!AR53+"Ug1!l&lt;"</f>
        <v>#VALUE!</v>
      </c>
      <c r="BV25" t="e">
        <f ca="1">EfW!AS53+"Ug1!l="</f>
        <v>#VALUE!</v>
      </c>
      <c r="BW25" t="e">
        <f ca="1">EfW!AT53+"Ug1!l&gt;"</f>
        <v>#VALUE!</v>
      </c>
      <c r="BX25" t="e">
        <f ca="1">EfW!AU53+"Ug1!l?"</f>
        <v>#VALUE!</v>
      </c>
      <c r="BY25" t="e">
        <f ca="1">EfW!AV53+"Ug1!l@"</f>
        <v>#VALUE!</v>
      </c>
      <c r="BZ25" t="e">
        <f ca="1">EfW!AW53+"Ug1!lA"</f>
        <v>#VALUE!</v>
      </c>
      <c r="CA25" t="e">
        <f ca="1">EfW!AX53+"Ug1!lB"</f>
        <v>#VALUE!</v>
      </c>
      <c r="CB25" t="e">
        <f ca="1">EfW!AY53+"Ug1!lC"</f>
        <v>#VALUE!</v>
      </c>
      <c r="CC25" t="e">
        <f ca="1">EfW!AZ53+"Ug1!lD"</f>
        <v>#VALUE!</v>
      </c>
      <c r="CD25" t="e">
        <f ca="1">EfW!BA53+"Ug1!lE"</f>
        <v>#VALUE!</v>
      </c>
      <c r="CE25" t="e">
        <f ca="1">EfW!BB53+"Ug1!lF"</f>
        <v>#VALUE!</v>
      </c>
      <c r="CF25" t="e">
        <f ca="1">EfW!BC53+"Ug1!lG"</f>
        <v>#VALUE!</v>
      </c>
      <c r="CG25" t="e">
        <f ca="1">EfW!BD53+"Ug1!lH"</f>
        <v>#VALUE!</v>
      </c>
      <c r="CH25" t="e">
        <f ca="1">EfW!BE53+"Ug1!lI"</f>
        <v>#VALUE!</v>
      </c>
      <c r="CI25" t="e">
        <f ca="1">EfW!BF53+"Ug1!lJ"</f>
        <v>#VALUE!</v>
      </c>
      <c r="CJ25" t="e">
        <f ca="1">EfW!BG53+"Ug1!lK"</f>
        <v>#VALUE!</v>
      </c>
      <c r="CK25" t="e">
        <f ca="1">EfW!BH53+"Ug1!lL"</f>
        <v>#VALUE!</v>
      </c>
      <c r="CL25" t="e">
        <f ca="1">EfW!BI53+"Ug1!lM"</f>
        <v>#VALUE!</v>
      </c>
      <c r="CM25" t="e">
        <f ca="1">EfW!BJ53+"Ug1!lN"</f>
        <v>#VALUE!</v>
      </c>
      <c r="CN25" t="e">
        <f ca="1">EfW!BK53+"Ug1!lO"</f>
        <v>#VALUE!</v>
      </c>
      <c r="CO25" t="e">
        <f ca="1">EfW!BL53+"Ug1!lP"</f>
        <v>#VALUE!</v>
      </c>
      <c r="CP25" t="e">
        <f ca="1">EfW!BM53+"Ug1!lQ"</f>
        <v>#VALUE!</v>
      </c>
      <c r="CQ25" t="e">
        <f ca="1">EfW!BN53+"Ug1!lR"</f>
        <v>#VALUE!</v>
      </c>
      <c r="CR25" t="e">
        <f ca="1">EfW!BO53+"Ug1!lS"</f>
        <v>#VALUE!</v>
      </c>
      <c r="CS25" t="e">
        <f ca="1">EfW!BP53+"Ug1!lT"</f>
        <v>#VALUE!</v>
      </c>
      <c r="CT25" t="e">
        <f ca="1">EfW!BQ53+"Ug1!lU"</f>
        <v>#VALUE!</v>
      </c>
      <c r="CU25" t="e">
        <f ca="1">EfW!BR53+"Ug1!lV"</f>
        <v>#VALUE!</v>
      </c>
      <c r="CV25" t="e">
        <f ca="1">EfW!BS53+"Ug1!lW"</f>
        <v>#VALUE!</v>
      </c>
      <c r="CW25" t="e">
        <f ca="1">EfW!BT53+"Ug1!lX"</f>
        <v>#VALUE!</v>
      </c>
      <c r="CX25" t="e">
        <f ca="1">EfW!BU53+"Ug1!lY"</f>
        <v>#VALUE!</v>
      </c>
      <c r="CY25" t="e">
        <f ca="1">EfW!BV53+"Ug1!lZ"</f>
        <v>#VALUE!</v>
      </c>
      <c r="CZ25" t="e">
        <f ca="1">EfW!BW53+"Ug1!l["</f>
        <v>#VALUE!</v>
      </c>
      <c r="DA25" t="e">
        <f ca="1">EfW!BX53+"Ug1!l\"</f>
        <v>#VALUE!</v>
      </c>
      <c r="DB25" t="e">
        <f ca="1">EfW!BY53+"Ug1!l]"</f>
        <v>#VALUE!</v>
      </c>
      <c r="DC25" t="e">
        <f ca="1">EfW!D54+"Ug1!l^"</f>
        <v>#VALUE!</v>
      </c>
      <c r="DD25" t="e">
        <f ca="1">EfW!E54+"Ug1!l_"</f>
        <v>#VALUE!</v>
      </c>
      <c r="DE25" t="e">
        <f ca="1">EfW!F54+"Ug1!l`"</f>
        <v>#VALUE!</v>
      </c>
      <c r="DF25" t="e">
        <f ca="1">EfW!G54+"Ug1!la"</f>
        <v>#VALUE!</v>
      </c>
      <c r="DG25" t="e">
        <f ca="1">EfW!H54+"Ug1!lb"</f>
        <v>#VALUE!</v>
      </c>
      <c r="DH25" t="e">
        <f ca="1">EfW!I54+"Ug1!lc"</f>
        <v>#VALUE!</v>
      </c>
      <c r="DI25" t="e">
        <f ca="1">EfW!J54+"Ug1!ld"</f>
        <v>#VALUE!</v>
      </c>
      <c r="DJ25" t="e">
        <f ca="1">EfW!K54+"Ug1!le"</f>
        <v>#VALUE!</v>
      </c>
      <c r="DK25" t="e">
        <f ca="1">EfW!L54+"Ug1!lf"</f>
        <v>#VALUE!</v>
      </c>
      <c r="DL25" t="e">
        <f ca="1">EfW!M54+"Ug1!lg"</f>
        <v>#VALUE!</v>
      </c>
      <c r="DM25" t="e">
        <f ca="1">EfW!N54+"Ug1!lh"</f>
        <v>#VALUE!</v>
      </c>
      <c r="DN25" t="e">
        <f ca="1">EfW!O54+"Ug1!li"</f>
        <v>#VALUE!</v>
      </c>
      <c r="DO25" t="e">
        <f ca="1">EfW!P54+"Ug1!lj"</f>
        <v>#VALUE!</v>
      </c>
      <c r="DP25" t="e">
        <f ca="1">EfW!Q54+"Ug1!lk"</f>
        <v>#VALUE!</v>
      </c>
      <c r="DQ25" t="e">
        <f ca="1">EfW!R54+"Ug1!ll"</f>
        <v>#VALUE!</v>
      </c>
      <c r="DR25" t="e">
        <f ca="1">EfW!S54+"Ug1!lm"</f>
        <v>#VALUE!</v>
      </c>
      <c r="DS25" t="e">
        <f ca="1">EfW!T54+"Ug1!ln"</f>
        <v>#VALUE!</v>
      </c>
      <c r="DT25" t="e">
        <f ca="1">EfW!U54+"Ug1!lo"</f>
        <v>#VALUE!</v>
      </c>
      <c r="DU25" t="e">
        <f ca="1">EfW!V54+"Ug1!lp"</f>
        <v>#VALUE!</v>
      </c>
      <c r="DV25" t="e">
        <f ca="1">EfW!W54+"Ug1!lq"</f>
        <v>#VALUE!</v>
      </c>
      <c r="DW25" t="e">
        <f ca="1">EfW!X54+"Ug1!lr"</f>
        <v>#VALUE!</v>
      </c>
      <c r="DX25" t="e">
        <f ca="1">EfW!Y54+"Ug1!ls"</f>
        <v>#VALUE!</v>
      </c>
      <c r="DY25" t="e">
        <f ca="1">EfW!Z54+"Ug1!lt"</f>
        <v>#VALUE!</v>
      </c>
      <c r="DZ25" t="e">
        <f ca="1">EfW!AA54+"Ug1!lu"</f>
        <v>#VALUE!</v>
      </c>
      <c r="EA25" t="e">
        <f ca="1">EfW!AB54+"Ug1!lv"</f>
        <v>#VALUE!</v>
      </c>
      <c r="EB25" t="e">
        <f ca="1">EfW!AC54+"Ug1!lw"</f>
        <v>#VALUE!</v>
      </c>
      <c r="EC25" t="e">
        <f ca="1">EfW!AD54+"Ug1!lx"</f>
        <v>#VALUE!</v>
      </c>
      <c r="ED25" t="e">
        <f ca="1">EfW!AE54+"Ug1!ly"</f>
        <v>#VALUE!</v>
      </c>
      <c r="EE25" t="e">
        <f ca="1">EfW!AF54+"Ug1!lz"</f>
        <v>#VALUE!</v>
      </c>
      <c r="EF25" t="e">
        <f ca="1">EfW!AG54+"Ug1!l{"</f>
        <v>#VALUE!</v>
      </c>
      <c r="EG25" t="e">
        <f ca="1">EfW!AH54+"Ug1!l|"</f>
        <v>#VALUE!</v>
      </c>
      <c r="EH25" t="e">
        <f ca="1">EfW!AI54+"Ug1!l}"</f>
        <v>#VALUE!</v>
      </c>
      <c r="EI25" t="e">
        <f ca="1">EfW!AJ54+"Ug1!l~"</f>
        <v>#VALUE!</v>
      </c>
      <c r="EJ25" t="e">
        <f ca="1">EfW!AK54+"Ug1!m#"</f>
        <v>#VALUE!</v>
      </c>
      <c r="EK25" t="e">
        <f ca="1">EfW!AL54+"Ug1!m$"</f>
        <v>#VALUE!</v>
      </c>
      <c r="EL25" t="e">
        <f ca="1">EfW!AM54+"Ug1!m%"</f>
        <v>#VALUE!</v>
      </c>
      <c r="EM25" t="e">
        <f ca="1">EfW!AN54+"Ug1!m&amp;"</f>
        <v>#VALUE!</v>
      </c>
      <c r="EN25" t="e">
        <f ca="1">EfW!AO54+"Ug1!m'"</f>
        <v>#VALUE!</v>
      </c>
      <c r="EO25" t="e">
        <f ca="1">EfW!AP54+"Ug1!m("</f>
        <v>#VALUE!</v>
      </c>
      <c r="EP25" t="e">
        <f ca="1">EfW!AQ54+"Ug1!m)"</f>
        <v>#VALUE!</v>
      </c>
      <c r="EQ25" t="e">
        <f ca="1">EfW!AR54+"Ug1!m."</f>
        <v>#VALUE!</v>
      </c>
      <c r="ER25" t="e">
        <f ca="1">EfW!AS54+"Ug1!m/"</f>
        <v>#VALUE!</v>
      </c>
      <c r="ES25" t="e">
        <f ca="1">EfW!AT54+"Ug1!m0"</f>
        <v>#VALUE!</v>
      </c>
      <c r="ET25" t="e">
        <f ca="1">EfW!AU54+"Ug1!m1"</f>
        <v>#VALUE!</v>
      </c>
      <c r="EU25" t="e">
        <f ca="1">EfW!AV54+"Ug1!m2"</f>
        <v>#VALUE!</v>
      </c>
      <c r="EV25" t="e">
        <f ca="1">EfW!AW54+"Ug1!m3"</f>
        <v>#VALUE!</v>
      </c>
      <c r="EW25" t="e">
        <f ca="1">EfW!AX54+"Ug1!m4"</f>
        <v>#VALUE!</v>
      </c>
      <c r="EX25" t="e">
        <f ca="1">EfW!AY54+"Ug1!m5"</f>
        <v>#VALUE!</v>
      </c>
      <c r="EY25" t="e">
        <f ca="1">EfW!AZ54+"Ug1!m6"</f>
        <v>#VALUE!</v>
      </c>
      <c r="EZ25" t="e">
        <f ca="1">EfW!BA54+"Ug1!m7"</f>
        <v>#VALUE!</v>
      </c>
      <c r="FA25" t="e">
        <f ca="1">EfW!BB54+"Ug1!m8"</f>
        <v>#VALUE!</v>
      </c>
      <c r="FB25" t="e">
        <f ca="1">EfW!BC54+"Ug1!m9"</f>
        <v>#VALUE!</v>
      </c>
      <c r="FC25" t="e">
        <f ca="1">EfW!BD54+"Ug1!m:"</f>
        <v>#VALUE!</v>
      </c>
      <c r="FD25" t="e">
        <f ca="1">EfW!BE54+"Ug1!m;"</f>
        <v>#VALUE!</v>
      </c>
      <c r="FE25" t="e">
        <f ca="1">EfW!BF54+"Ug1!m&lt;"</f>
        <v>#VALUE!</v>
      </c>
      <c r="FF25" t="e">
        <f ca="1">EfW!BG54+"Ug1!m="</f>
        <v>#VALUE!</v>
      </c>
      <c r="FG25" t="e">
        <f ca="1">EfW!BH54+"Ug1!m&gt;"</f>
        <v>#VALUE!</v>
      </c>
      <c r="FH25" t="e">
        <f ca="1">EfW!BI54+"Ug1!m?"</f>
        <v>#VALUE!</v>
      </c>
      <c r="FI25" t="e">
        <f ca="1">EfW!BJ54+"Ug1!m@"</f>
        <v>#VALUE!</v>
      </c>
      <c r="FJ25" t="e">
        <f ca="1">EfW!BK54+"Ug1!mA"</f>
        <v>#VALUE!</v>
      </c>
      <c r="FK25" t="e">
        <f ca="1">EfW!BL54+"Ug1!mB"</f>
        <v>#VALUE!</v>
      </c>
      <c r="FL25" t="e">
        <f ca="1">EfW!BM54+"Ug1!mC"</f>
        <v>#VALUE!</v>
      </c>
      <c r="FM25" t="e">
        <f ca="1">EfW!BN54+"Ug1!mD"</f>
        <v>#VALUE!</v>
      </c>
      <c r="FN25" t="e">
        <f ca="1">EfW!BO54+"Ug1!mE"</f>
        <v>#VALUE!</v>
      </c>
      <c r="FO25" t="e">
        <f ca="1">EfW!BP54+"Ug1!mF"</f>
        <v>#VALUE!</v>
      </c>
      <c r="FP25" t="e">
        <f ca="1">EfW!BQ54+"Ug1!mG"</f>
        <v>#VALUE!</v>
      </c>
      <c r="FQ25" t="e">
        <f ca="1">EfW!BR54+"Ug1!mH"</f>
        <v>#VALUE!</v>
      </c>
      <c r="FR25" t="e">
        <f ca="1">EfW!BS54+"Ug1!mI"</f>
        <v>#VALUE!</v>
      </c>
      <c r="FS25" t="e">
        <f ca="1">EfW!BT54+"Ug1!mJ"</f>
        <v>#VALUE!</v>
      </c>
      <c r="FT25" t="e">
        <f ca="1">EfW!BU54+"Ug1!mK"</f>
        <v>#VALUE!</v>
      </c>
      <c r="FU25" t="e">
        <f ca="1">EfW!BV54+"Ug1!mL"</f>
        <v>#VALUE!</v>
      </c>
      <c r="FV25" t="e">
        <f ca="1">EfW!BW54+"Ug1!mM"</f>
        <v>#VALUE!</v>
      </c>
      <c r="FW25" t="e">
        <f ca="1">EfW!BX54+"Ug1!mN"</f>
        <v>#VALUE!</v>
      </c>
      <c r="FX25" t="e">
        <f ca="1">EfW!BY54+"Ug1!mO"</f>
        <v>#VALUE!</v>
      </c>
      <c r="FY25" t="e">
        <f ca="1">EfW!D55+"Ug1!mP"</f>
        <v>#VALUE!</v>
      </c>
      <c r="FZ25" t="e">
        <f ca="1">EfW!E55+"Ug1!mQ"</f>
        <v>#VALUE!</v>
      </c>
      <c r="GA25" t="e">
        <f ca="1">EfW!F55+"Ug1!mR"</f>
        <v>#VALUE!</v>
      </c>
      <c r="GB25" t="e">
        <f ca="1">EfW!G55+"Ug1!mS"</f>
        <v>#VALUE!</v>
      </c>
      <c r="GC25" t="e">
        <f ca="1">EfW!H55+"Ug1!mT"</f>
        <v>#VALUE!</v>
      </c>
      <c r="GD25" t="e">
        <f ca="1">EfW!I55+"Ug1!mU"</f>
        <v>#VALUE!</v>
      </c>
      <c r="GE25" t="e">
        <f ca="1">EfW!J55+"Ug1!mV"</f>
        <v>#VALUE!</v>
      </c>
      <c r="GF25" t="e">
        <f ca="1">EfW!K55+"Ug1!mW"</f>
        <v>#VALUE!</v>
      </c>
      <c r="GG25" t="e">
        <f ca="1">EfW!L55+"Ug1!mX"</f>
        <v>#VALUE!</v>
      </c>
      <c r="GH25" t="e">
        <f ca="1">EfW!M55+"Ug1!mY"</f>
        <v>#VALUE!</v>
      </c>
      <c r="GI25" t="e">
        <f ca="1">EfW!N55+"Ug1!mZ"</f>
        <v>#VALUE!</v>
      </c>
      <c r="GJ25" t="e">
        <f ca="1">EfW!O55+"Ug1!m["</f>
        <v>#VALUE!</v>
      </c>
      <c r="GK25" t="e">
        <f ca="1">EfW!P55+"Ug1!m\"</f>
        <v>#VALUE!</v>
      </c>
      <c r="GL25" t="e">
        <f ca="1">EfW!Q55+"Ug1!m]"</f>
        <v>#VALUE!</v>
      </c>
      <c r="GM25" t="e">
        <f ca="1">EfW!R55+"Ug1!m^"</f>
        <v>#VALUE!</v>
      </c>
      <c r="GN25" t="e">
        <f ca="1">EfW!S55+"Ug1!m_"</f>
        <v>#VALUE!</v>
      </c>
      <c r="GO25" t="e">
        <f ca="1">EfW!T55+"Ug1!m`"</f>
        <v>#VALUE!</v>
      </c>
      <c r="GP25" t="e">
        <f ca="1">EfW!U55+"Ug1!ma"</f>
        <v>#VALUE!</v>
      </c>
      <c r="GQ25" t="e">
        <f ca="1">EfW!V55+"Ug1!mb"</f>
        <v>#VALUE!</v>
      </c>
      <c r="GR25" t="e">
        <f ca="1">EfW!W55+"Ug1!mc"</f>
        <v>#VALUE!</v>
      </c>
      <c r="GS25" t="e">
        <f ca="1">EfW!X55+"Ug1!md"</f>
        <v>#VALUE!</v>
      </c>
      <c r="GT25" t="e">
        <f ca="1">EfW!Y55+"Ug1!me"</f>
        <v>#VALUE!</v>
      </c>
      <c r="GU25" t="e">
        <f ca="1">EfW!Z55+"Ug1!mf"</f>
        <v>#VALUE!</v>
      </c>
      <c r="GV25" t="e">
        <f ca="1">EfW!AA55+"Ug1!mg"</f>
        <v>#VALUE!</v>
      </c>
      <c r="GW25" t="e">
        <f ca="1">EfW!AB55+"Ug1!mh"</f>
        <v>#VALUE!</v>
      </c>
      <c r="GX25" t="e">
        <f ca="1">EfW!AC55+"Ug1!mi"</f>
        <v>#VALUE!</v>
      </c>
      <c r="GY25" t="e">
        <f ca="1">EfW!AD55+"Ug1!mj"</f>
        <v>#VALUE!</v>
      </c>
      <c r="GZ25" t="e">
        <f ca="1">EfW!AE55+"Ug1!mk"</f>
        <v>#VALUE!</v>
      </c>
      <c r="HA25" t="e">
        <f ca="1">EfW!AF55+"Ug1!ml"</f>
        <v>#VALUE!</v>
      </c>
      <c r="HB25" t="e">
        <f ca="1">EfW!AG55+"Ug1!mm"</f>
        <v>#VALUE!</v>
      </c>
      <c r="HC25" t="e">
        <f ca="1">EfW!AH55+"Ug1!mn"</f>
        <v>#VALUE!</v>
      </c>
      <c r="HD25" t="e">
        <f ca="1">EfW!AI55+"Ug1!mo"</f>
        <v>#VALUE!</v>
      </c>
      <c r="HE25" t="e">
        <f ca="1">EfW!AJ55+"Ug1!mp"</f>
        <v>#VALUE!</v>
      </c>
      <c r="HF25" t="e">
        <f ca="1">EfW!AK55+"Ug1!mq"</f>
        <v>#VALUE!</v>
      </c>
      <c r="HG25" t="e">
        <f ca="1">EfW!AL55+"Ug1!mr"</f>
        <v>#VALUE!</v>
      </c>
      <c r="HH25" t="e">
        <f ca="1">EfW!AM55+"Ug1!ms"</f>
        <v>#VALUE!</v>
      </c>
      <c r="HI25" t="e">
        <f ca="1">EfW!AN55+"Ug1!mt"</f>
        <v>#VALUE!</v>
      </c>
      <c r="HJ25" t="e">
        <f ca="1">EfW!AO55+"Ug1!mu"</f>
        <v>#VALUE!</v>
      </c>
      <c r="HK25" t="e">
        <f ca="1">EfW!AP55+"Ug1!mv"</f>
        <v>#VALUE!</v>
      </c>
      <c r="HL25" t="e">
        <f ca="1">EfW!AQ55+"Ug1!mw"</f>
        <v>#VALUE!</v>
      </c>
      <c r="HM25" t="e">
        <f ca="1">EfW!AR55+"Ug1!mx"</f>
        <v>#VALUE!</v>
      </c>
      <c r="HN25" t="e">
        <f ca="1">EfW!AS55+"Ug1!my"</f>
        <v>#VALUE!</v>
      </c>
      <c r="HO25" t="e">
        <f ca="1">EfW!AT55+"Ug1!mz"</f>
        <v>#VALUE!</v>
      </c>
      <c r="HP25" t="e">
        <f ca="1">EfW!AU55+"Ug1!m{"</f>
        <v>#VALUE!</v>
      </c>
      <c r="HQ25" t="e">
        <f ca="1">EfW!AV55+"Ug1!m|"</f>
        <v>#VALUE!</v>
      </c>
      <c r="HR25" t="e">
        <f ca="1">EfW!AW55+"Ug1!m}"</f>
        <v>#VALUE!</v>
      </c>
      <c r="HS25" t="e">
        <f ca="1">EfW!AX55+"Ug1!m~"</f>
        <v>#VALUE!</v>
      </c>
      <c r="HT25" t="e">
        <f ca="1">EfW!AY55+"Ug1!n#"</f>
        <v>#VALUE!</v>
      </c>
      <c r="HU25" t="e">
        <f ca="1">EfW!AZ55+"Ug1!n$"</f>
        <v>#VALUE!</v>
      </c>
      <c r="HV25" t="e">
        <f ca="1">EfW!BA55+"Ug1!n%"</f>
        <v>#VALUE!</v>
      </c>
      <c r="HW25" t="e">
        <f ca="1">EfW!BB55+"Ug1!n&amp;"</f>
        <v>#VALUE!</v>
      </c>
      <c r="HX25" t="e">
        <f ca="1">EfW!BC55+"Ug1!n'"</f>
        <v>#VALUE!</v>
      </c>
      <c r="HY25" t="e">
        <f ca="1">EfW!BD55+"Ug1!n("</f>
        <v>#VALUE!</v>
      </c>
      <c r="HZ25" t="e">
        <f ca="1">EfW!BE55+"Ug1!n)"</f>
        <v>#VALUE!</v>
      </c>
      <c r="IA25" t="e">
        <f ca="1">EfW!BF55+"Ug1!n."</f>
        <v>#VALUE!</v>
      </c>
      <c r="IB25" t="e">
        <f ca="1">EfW!BG55+"Ug1!n/"</f>
        <v>#VALUE!</v>
      </c>
      <c r="IC25" t="e">
        <f ca="1">EfW!BH55+"Ug1!n0"</f>
        <v>#VALUE!</v>
      </c>
      <c r="ID25" t="e">
        <f ca="1">EfW!BI55+"Ug1!n1"</f>
        <v>#VALUE!</v>
      </c>
      <c r="IE25" t="e">
        <f ca="1">EfW!BJ55+"Ug1!n2"</f>
        <v>#VALUE!</v>
      </c>
      <c r="IF25" t="e">
        <f ca="1">EfW!BK55+"Ug1!n3"</f>
        <v>#VALUE!</v>
      </c>
      <c r="IG25" t="e">
        <f ca="1">EfW!BL55+"Ug1!n4"</f>
        <v>#VALUE!</v>
      </c>
      <c r="IH25" t="e">
        <f ca="1">EfW!BM55+"Ug1!n5"</f>
        <v>#VALUE!</v>
      </c>
      <c r="II25" t="e">
        <f ca="1">EfW!BN55+"Ug1!n6"</f>
        <v>#VALUE!</v>
      </c>
      <c r="IJ25" t="e">
        <f ca="1">EfW!BO55+"Ug1!n7"</f>
        <v>#VALUE!</v>
      </c>
      <c r="IK25" t="e">
        <f ca="1">EfW!BP55+"Ug1!n8"</f>
        <v>#VALUE!</v>
      </c>
      <c r="IL25" t="e">
        <f ca="1">EfW!BQ55+"Ug1!n9"</f>
        <v>#VALUE!</v>
      </c>
      <c r="IM25" t="e">
        <f ca="1">EfW!BR55+"Ug1!n:"</f>
        <v>#VALUE!</v>
      </c>
      <c r="IN25" t="e">
        <f ca="1">EfW!BS55+"Ug1!n;"</f>
        <v>#VALUE!</v>
      </c>
      <c r="IO25" t="e">
        <f ca="1">EfW!BT55+"Ug1!n&lt;"</f>
        <v>#VALUE!</v>
      </c>
      <c r="IP25" t="e">
        <f ca="1">EfW!BU55+"Ug1!n="</f>
        <v>#VALUE!</v>
      </c>
      <c r="IQ25" t="e">
        <f ca="1">EfW!BV55+"Ug1!n&gt;"</f>
        <v>#VALUE!</v>
      </c>
      <c r="IR25" t="e">
        <f ca="1">EfW!BW55+"Ug1!n?"</f>
        <v>#VALUE!</v>
      </c>
      <c r="IS25" t="e">
        <f ca="1">EfW!BX55+"Ug1!n@"</f>
        <v>#VALUE!</v>
      </c>
      <c r="IT25" t="e">
        <f ca="1">EfW!BY55+"Ug1!nA"</f>
        <v>#VALUE!</v>
      </c>
      <c r="IU25" t="e">
        <f ca="1">EfW!A56+"Ug1!nB"</f>
        <v>#VALUE!</v>
      </c>
      <c r="IV25" t="e">
        <f ca="1">EfW!B56+"Ug1!nC"</f>
        <v>#VALUE!</v>
      </c>
    </row>
    <row r="26" spans="6:256" x14ac:dyDescent="0.2">
      <c r="F26" t="e">
        <f ca="1">EfW!C56+"Ug1!nD"</f>
        <v>#VALUE!</v>
      </c>
      <c r="G26" t="e">
        <f ca="1">EfW!D56+"Ug1!nE"</f>
        <v>#VALUE!</v>
      </c>
      <c r="H26" t="e">
        <f ca="1">EfW!E56+"Ug1!nF"</f>
        <v>#VALUE!</v>
      </c>
      <c r="I26" t="e">
        <f ca="1">EfW!G56+"Ug1!nG"</f>
        <v>#VALUE!</v>
      </c>
      <c r="J26" t="e">
        <f ca="1">EfW!H56+"Ug1!nH"</f>
        <v>#VALUE!</v>
      </c>
      <c r="K26" t="e">
        <f ca="1">EfW!J56+"Ug1!nI"</f>
        <v>#VALUE!</v>
      </c>
      <c r="L26" t="e">
        <f ca="1">EfW!K56+"Ug1!nJ"</f>
        <v>#VALUE!</v>
      </c>
      <c r="M26" t="e">
        <f ca="1">EfW!L56+"Ug1!nK"</f>
        <v>#VALUE!</v>
      </c>
      <c r="N26" t="e">
        <f ca="1">EfW!M56+"Ug1!nL"</f>
        <v>#VALUE!</v>
      </c>
      <c r="O26" t="e">
        <f ca="1">EfW!N56+"Ug1!nM"</f>
        <v>#VALUE!</v>
      </c>
      <c r="P26" t="e">
        <f ca="1">EfW!O56+"Ug1!nN"</f>
        <v>#VALUE!</v>
      </c>
      <c r="Q26" t="e">
        <f ca="1">EfW!P56+"Ug1!nO"</f>
        <v>#VALUE!</v>
      </c>
      <c r="R26" t="e">
        <f ca="1">EfW!Q56+"Ug1!nP"</f>
        <v>#VALUE!</v>
      </c>
      <c r="S26" t="e">
        <f ca="1">EfW!R56+"Ug1!nQ"</f>
        <v>#VALUE!</v>
      </c>
      <c r="T26" t="e">
        <f ca="1">EfW!S56+"Ug1!nR"</f>
        <v>#VALUE!</v>
      </c>
      <c r="U26" t="e">
        <f ca="1">EfW!T56+"Ug1!nS"</f>
        <v>#VALUE!</v>
      </c>
      <c r="V26" t="e">
        <f ca="1">EfW!U56+"Ug1!nT"</f>
        <v>#VALUE!</v>
      </c>
      <c r="W26" t="e">
        <f ca="1">EfW!V56+"Ug1!nU"</f>
        <v>#VALUE!</v>
      </c>
      <c r="X26" t="e">
        <f ca="1">EfW!W56+"Ug1!nV"</f>
        <v>#VALUE!</v>
      </c>
      <c r="Y26" t="e">
        <f ca="1">EfW!X56+"Ug1!nW"</f>
        <v>#VALUE!</v>
      </c>
      <c r="Z26" t="e">
        <f ca="1">EfW!Y56+"Ug1!nX"</f>
        <v>#VALUE!</v>
      </c>
      <c r="AA26" t="e">
        <f ca="1">EfW!Z56+"Ug1!nY"</f>
        <v>#VALUE!</v>
      </c>
      <c r="AB26" t="e">
        <f ca="1">EfW!AA56+"Ug1!nZ"</f>
        <v>#VALUE!</v>
      </c>
      <c r="AC26" t="e">
        <f ca="1">EfW!AB56+"Ug1!n["</f>
        <v>#VALUE!</v>
      </c>
      <c r="AD26" t="e">
        <f ca="1">EfW!AC56+"Ug1!n\"</f>
        <v>#VALUE!</v>
      </c>
      <c r="AE26" t="e">
        <f ca="1">EfW!AD56+"Ug1!n]"</f>
        <v>#VALUE!</v>
      </c>
      <c r="AF26" t="e">
        <f ca="1">EfW!AE56+"Ug1!n^"</f>
        <v>#VALUE!</v>
      </c>
      <c r="AG26" t="e">
        <f ca="1">EfW!AF56+"Ug1!n_"</f>
        <v>#VALUE!</v>
      </c>
      <c r="AH26" t="e">
        <f ca="1">EfW!AG56+"Ug1!n`"</f>
        <v>#VALUE!</v>
      </c>
      <c r="AI26" t="e">
        <f ca="1">EfW!AH56+"Ug1!na"</f>
        <v>#VALUE!</v>
      </c>
      <c r="AJ26" t="e">
        <f ca="1">EfW!AI56+"Ug1!nb"</f>
        <v>#VALUE!</v>
      </c>
      <c r="AK26" t="e">
        <f ca="1">EfW!AJ56+"Ug1!nc"</f>
        <v>#VALUE!</v>
      </c>
      <c r="AL26" t="e">
        <f ca="1">EfW!AK56+"Ug1!nd"</f>
        <v>#VALUE!</v>
      </c>
      <c r="AM26" t="e">
        <f ca="1">EfW!AL56+"Ug1!ne"</f>
        <v>#VALUE!</v>
      </c>
      <c r="AN26" t="e">
        <f ca="1">EfW!AM56+"Ug1!nf"</f>
        <v>#VALUE!</v>
      </c>
      <c r="AO26" t="e">
        <f ca="1">EfW!AN56+"Ug1!ng"</f>
        <v>#VALUE!</v>
      </c>
      <c r="AP26" t="e">
        <f ca="1">EfW!AO56+"Ug1!nh"</f>
        <v>#VALUE!</v>
      </c>
      <c r="AQ26" t="e">
        <f ca="1">EfW!AP56+"Ug1!ni"</f>
        <v>#VALUE!</v>
      </c>
      <c r="AR26" t="e">
        <f ca="1">EfW!AQ56+"Ug1!nj"</f>
        <v>#VALUE!</v>
      </c>
      <c r="AS26" t="e">
        <f ca="1">EfW!AR56+"Ug1!nk"</f>
        <v>#VALUE!</v>
      </c>
      <c r="AT26" t="e">
        <f ca="1">EfW!AS56+"Ug1!nl"</f>
        <v>#VALUE!</v>
      </c>
      <c r="AU26" t="e">
        <f ca="1">EfW!AT56+"Ug1!nm"</f>
        <v>#VALUE!</v>
      </c>
      <c r="AV26" t="e">
        <f ca="1">EfW!AU56+"Ug1!nn"</f>
        <v>#VALUE!</v>
      </c>
      <c r="AW26" t="e">
        <f ca="1">EfW!AV56+"Ug1!no"</f>
        <v>#VALUE!</v>
      </c>
      <c r="AX26" t="e">
        <f ca="1">EfW!AW56+"Ug1!np"</f>
        <v>#VALUE!</v>
      </c>
      <c r="AY26" t="e">
        <f ca="1">EfW!AX56+"Ug1!nq"</f>
        <v>#VALUE!</v>
      </c>
      <c r="AZ26" t="e">
        <f ca="1">EfW!AY56+"Ug1!nr"</f>
        <v>#VALUE!</v>
      </c>
      <c r="BA26" t="e">
        <f ca="1">EfW!AZ56+"Ug1!ns"</f>
        <v>#VALUE!</v>
      </c>
      <c r="BB26" t="e">
        <f ca="1">EfW!BA56+"Ug1!nt"</f>
        <v>#VALUE!</v>
      </c>
      <c r="BC26" t="e">
        <f ca="1">EfW!BB56+"Ug1!nu"</f>
        <v>#VALUE!</v>
      </c>
      <c r="BD26" t="e">
        <f ca="1">EfW!BC56+"Ug1!nv"</f>
        <v>#VALUE!</v>
      </c>
      <c r="BE26" t="e">
        <f ca="1">EfW!BD56+"Ug1!nw"</f>
        <v>#VALUE!</v>
      </c>
      <c r="BF26" t="e">
        <f ca="1">EfW!BE56+"Ug1!nx"</f>
        <v>#VALUE!</v>
      </c>
      <c r="BG26" t="e">
        <f ca="1">EfW!BF56+"Ug1!ny"</f>
        <v>#VALUE!</v>
      </c>
      <c r="BH26" t="e">
        <f ca="1">EfW!BG56+"Ug1!nz"</f>
        <v>#VALUE!</v>
      </c>
      <c r="BI26" t="e">
        <f ca="1">EfW!BH56+"Ug1!n{"</f>
        <v>#VALUE!</v>
      </c>
      <c r="BJ26" t="e">
        <f ca="1">EfW!BI56+"Ug1!n|"</f>
        <v>#VALUE!</v>
      </c>
      <c r="BK26" t="e">
        <f ca="1">EfW!BJ56+"Ug1!n}"</f>
        <v>#VALUE!</v>
      </c>
      <c r="BL26" t="e">
        <f ca="1">EfW!BK56+"Ug1!n~"</f>
        <v>#VALUE!</v>
      </c>
      <c r="BM26" t="e">
        <f ca="1">EfW!BL56+"Ug1!o#"</f>
        <v>#VALUE!</v>
      </c>
      <c r="BN26" t="e">
        <f ca="1">EfW!BM56+"Ug1!o$"</f>
        <v>#VALUE!</v>
      </c>
      <c r="BO26" t="e">
        <f ca="1">EfW!BN56+"Ug1!o%"</f>
        <v>#VALUE!</v>
      </c>
      <c r="BP26" t="e">
        <f ca="1">EfW!BO56+"Ug1!o&amp;"</f>
        <v>#VALUE!</v>
      </c>
      <c r="BQ26" t="e">
        <f ca="1">EfW!BP56+"Ug1!o'"</f>
        <v>#VALUE!</v>
      </c>
      <c r="BR26" t="e">
        <f ca="1">EfW!BQ56+"Ug1!o("</f>
        <v>#VALUE!</v>
      </c>
      <c r="BS26" t="e">
        <f ca="1">EfW!BR56+"Ug1!o)"</f>
        <v>#VALUE!</v>
      </c>
      <c r="BT26" t="e">
        <f ca="1">EfW!BS56+"Ug1!o."</f>
        <v>#VALUE!</v>
      </c>
      <c r="BU26" t="e">
        <f ca="1">EfW!BT56+"Ug1!o/"</f>
        <v>#VALUE!</v>
      </c>
      <c r="BV26" t="e">
        <f ca="1">EfW!BU56+"Ug1!o0"</f>
        <v>#VALUE!</v>
      </c>
      <c r="BW26" t="e">
        <f ca="1">EfW!BV56+"Ug1!o1"</f>
        <v>#VALUE!</v>
      </c>
      <c r="BX26" t="e">
        <f ca="1">EfW!BW56+"Ug1!o2"</f>
        <v>#VALUE!</v>
      </c>
      <c r="BY26" t="e">
        <f ca="1">EfW!BX56+"Ug1!o3"</f>
        <v>#VALUE!</v>
      </c>
      <c r="BZ26" t="e">
        <f ca="1">EfW!BY56+"Ug1!o4"</f>
        <v>#VALUE!</v>
      </c>
      <c r="CA26" t="e">
        <f ca="1">EfW!J57+"Ug1!o5"</f>
        <v>#VALUE!</v>
      </c>
      <c r="CB26" t="e">
        <f ca="1">EfW!B58+"Ug1!o6"</f>
        <v>#VALUE!</v>
      </c>
      <c r="CC26" t="e">
        <f ca="1">EfW!E59+"Ug1!o7"</f>
        <v>#VALUE!</v>
      </c>
      <c r="CD26" t="e">
        <f ca="1">EfW!F59+"Ug1!o8"</f>
        <v>#VALUE!</v>
      </c>
      <c r="CE26" t="e">
        <f ca="1">EfW!G59+"Ug1!o9"</f>
        <v>#VALUE!</v>
      </c>
      <c r="CF26" t="e">
        <f ca="1">EfW!E60+"Ug1!o:"</f>
        <v>#VALUE!</v>
      </c>
      <c r="CG26" t="e">
        <f ca="1">EfW!F60+"Ug1!o;"</f>
        <v>#VALUE!</v>
      </c>
      <c r="CH26" t="e">
        <f ca="1">EfW!G60+"Ug1!o&lt;"</f>
        <v>#VALUE!</v>
      </c>
      <c r="CI26" t="e">
        <f ca="1">EfW!E61+"Ug1!o="</f>
        <v>#VALUE!</v>
      </c>
      <c r="CJ26" t="e">
        <f ca="1">EfW!F61+"Ug1!o&gt;"</f>
        <v>#VALUE!</v>
      </c>
      <c r="CK26" t="e">
        <f ca="1">EfW!G61+"Ug1!o?"</f>
        <v>#VALUE!</v>
      </c>
      <c r="CL26" t="e">
        <f ca="1">EfW!E62+"Ug1!o@"</f>
        <v>#VALUE!</v>
      </c>
      <c r="CM26" t="e">
        <f ca="1">EfW!F62+"Ug1!oA"</f>
        <v>#VALUE!</v>
      </c>
      <c r="CN26" t="e">
        <f ca="1">EfW!G62+"Ug1!oB"</f>
        <v>#VALUE!</v>
      </c>
      <c r="CO26" t="e">
        <f ca="1">EfW!E63+"Ug1!oC"</f>
        <v>#VALUE!</v>
      </c>
      <c r="CP26" t="e">
        <f ca="1">EfW!F63+"Ug1!oD"</f>
        <v>#VALUE!</v>
      </c>
      <c r="CQ26" t="e">
        <f ca="1">EfW!G63+"Ug1!oE"</f>
        <v>#VALUE!</v>
      </c>
      <c r="CR26" t="e">
        <f ca="1">EfW!E64+"Ug1!oF"</f>
        <v>#VALUE!</v>
      </c>
      <c r="CS26" t="e">
        <f ca="1">EfW!F64+"Ug1!oG"</f>
        <v>#VALUE!</v>
      </c>
      <c r="CT26" t="e">
        <f ca="1">EfW!G64+"Ug1!oH"</f>
        <v>#VALUE!</v>
      </c>
      <c r="CU26" t="e">
        <f ca="1">EfW!E65+"Ug1!oI"</f>
        <v>#VALUE!</v>
      </c>
      <c r="CV26" t="e">
        <f ca="1">EfW!F65+"Ug1!oJ"</f>
        <v>#VALUE!</v>
      </c>
      <c r="CW26" t="e">
        <f ca="1">EfW!G65+"Ug1!oK"</f>
        <v>#VALUE!</v>
      </c>
      <c r="CX26" t="e">
        <f ca="1">EfW!E66+"Ug1!oL"</f>
        <v>#VALUE!</v>
      </c>
      <c r="CY26" t="e">
        <f ca="1">EfW!F66+"Ug1!oM"</f>
        <v>#VALUE!</v>
      </c>
      <c r="CZ26" t="e">
        <f ca="1">EfW!G66+"Ug1!oN"</f>
        <v>#VALUE!</v>
      </c>
      <c r="DA26" t="e">
        <f ca="1">EfW!E67+"Ug1!oO"</f>
        <v>#VALUE!</v>
      </c>
      <c r="DB26" t="e">
        <f ca="1">EfW!F67+"Ug1!oP"</f>
        <v>#VALUE!</v>
      </c>
      <c r="DC26" t="e">
        <f ca="1">EfW!G67+"Ug1!oQ"</f>
        <v>#VALUE!</v>
      </c>
      <c r="DD26" t="e">
        <f ca="1">EfW!E68+"Ug1!oR"</f>
        <v>#VALUE!</v>
      </c>
      <c r="DE26" t="e">
        <f ca="1">EfW!F68+"Ug1!oS"</f>
        <v>#VALUE!</v>
      </c>
      <c r="DF26" t="e">
        <f ca="1">EfW!G68+"Ug1!oT"</f>
        <v>#VALUE!</v>
      </c>
      <c r="DG26" t="e">
        <f ca="1">EfW!E69+"Ug1!oU"</f>
        <v>#VALUE!</v>
      </c>
      <c r="DH26" t="e">
        <f ca="1">EfW!F69+"Ug1!oV"</f>
        <v>#VALUE!</v>
      </c>
      <c r="DI26" t="e">
        <f ca="1">EfW!G69+"Ug1!oW"</f>
        <v>#VALUE!</v>
      </c>
      <c r="DJ26" t="e">
        <f ca="1">EfW!E70+"Ug1!oX"</f>
        <v>#VALUE!</v>
      </c>
      <c r="DK26" t="e">
        <f ca="1">EfW!F70+"Ug1!oY"</f>
        <v>#VALUE!</v>
      </c>
      <c r="DL26" t="e">
        <f ca="1">EfW!G70+"Ug1!oZ"</f>
        <v>#VALUE!</v>
      </c>
      <c r="DM26" t="e">
        <f ca="1">EfW!E71+"Ug1!o["</f>
        <v>#VALUE!</v>
      </c>
      <c r="DN26" t="e">
        <f ca="1">EfW!F71+"Ug1!o\"</f>
        <v>#VALUE!</v>
      </c>
      <c r="DO26" t="e">
        <f ca="1">EfW!G71+"Ug1!o]"</f>
        <v>#VALUE!</v>
      </c>
      <c r="DP26" t="e">
        <f ca="1">EfW!A72+"Ug1!o^"</f>
        <v>#VALUE!</v>
      </c>
      <c r="DQ26" t="e">
        <f ca="1">EfW!B72+"Ug1!o_"</f>
        <v>#VALUE!</v>
      </c>
      <c r="DR26" t="e">
        <f ca="1">EfW!C72+"Ug1!o`"</f>
        <v>#VALUE!</v>
      </c>
      <c r="DS26" t="e">
        <f ca="1">EfW!D72+"Ug1!oa"</f>
        <v>#VALUE!</v>
      </c>
      <c r="DT26" t="e">
        <f ca="1">EfW!E72+"Ug1!ob"</f>
        <v>#VALUE!</v>
      </c>
      <c r="DU26" t="e">
        <f ca="1">EfW!F72+"Ug1!oc"</f>
        <v>#VALUE!</v>
      </c>
      <c r="DV26" t="e">
        <f ca="1">EfW!G72+"Ug1!od"</f>
        <v>#VALUE!</v>
      </c>
      <c r="DW26" t="e">
        <f ca="1">EfW!H72+"Ug1!oe"</f>
        <v>#VALUE!</v>
      </c>
      <c r="DX26" t="e">
        <f ca="1">EfW!I72+"Ug1!of"</f>
        <v>#VALUE!</v>
      </c>
      <c r="DY26" t="e">
        <f ca="1">EfW!J72+"Ug1!og"</f>
        <v>#VALUE!</v>
      </c>
      <c r="DZ26" t="e">
        <f ca="1">EfW!K72+"Ug1!oh"</f>
        <v>#VALUE!</v>
      </c>
      <c r="EA26" t="e">
        <f ca="1">EfW!L72+"Ug1!oi"</f>
        <v>#VALUE!</v>
      </c>
      <c r="EB26" t="e">
        <f ca="1">EfW!M72+"Ug1!oj"</f>
        <v>#VALUE!</v>
      </c>
      <c r="EC26" t="e">
        <f ca="1">EfW!N72+"Ug1!ok"</f>
        <v>#VALUE!</v>
      </c>
      <c r="ED26" t="e">
        <f ca="1">EfW!O72+"Ug1!ol"</f>
        <v>#VALUE!</v>
      </c>
      <c r="EE26" t="e">
        <f ca="1">EfW!P72+"Ug1!om"</f>
        <v>#VALUE!</v>
      </c>
      <c r="EF26" t="e">
        <f ca="1">EfW!Q72+"Ug1!on"</f>
        <v>#VALUE!</v>
      </c>
      <c r="EG26" t="e">
        <f ca="1">EfW!R72+"Ug1!oo"</f>
        <v>#VALUE!</v>
      </c>
      <c r="EH26" t="e">
        <f ca="1">EfW!S72+"Ug1!op"</f>
        <v>#VALUE!</v>
      </c>
      <c r="EI26" t="e">
        <f ca="1">EfW!T72+"Ug1!oq"</f>
        <v>#VALUE!</v>
      </c>
      <c r="EJ26" t="e">
        <f ca="1">EfW!U72+"Ug1!or"</f>
        <v>#VALUE!</v>
      </c>
      <c r="EK26" t="e">
        <f ca="1">EfW!V72+"Ug1!os"</f>
        <v>#VALUE!</v>
      </c>
      <c r="EL26" t="e">
        <f ca="1">EfW!W72+"Ug1!ot"</f>
        <v>#VALUE!</v>
      </c>
      <c r="EM26" t="e">
        <f ca="1">EfW!X72+"Ug1!ou"</f>
        <v>#VALUE!</v>
      </c>
      <c r="EN26" t="e">
        <f ca="1">EfW!Y72+"Ug1!ov"</f>
        <v>#VALUE!</v>
      </c>
      <c r="EO26" t="e">
        <f ca="1">EfW!Z72+"Ug1!ow"</f>
        <v>#VALUE!</v>
      </c>
      <c r="EP26" t="e">
        <f ca="1">EfW!AA72+"Ug1!ox"</f>
        <v>#VALUE!</v>
      </c>
      <c r="EQ26" t="e">
        <f ca="1">EfW!AB72+"Ug1!oy"</f>
        <v>#VALUE!</v>
      </c>
      <c r="ER26" t="e">
        <f ca="1">EfW!AC72+"Ug1!oz"</f>
        <v>#VALUE!</v>
      </c>
      <c r="ES26" t="e">
        <f ca="1">EfW!AD72+"Ug1!o{"</f>
        <v>#VALUE!</v>
      </c>
      <c r="ET26" t="e">
        <f ca="1">EfW!AE72+"Ug1!o|"</f>
        <v>#VALUE!</v>
      </c>
      <c r="EU26" t="e">
        <f ca="1">EfW!AF72+"Ug1!o}"</f>
        <v>#VALUE!</v>
      </c>
      <c r="EV26" t="e">
        <f ca="1">EfW!AG72+"Ug1!o~"</f>
        <v>#VALUE!</v>
      </c>
      <c r="EW26" t="e">
        <f ca="1">EfW!AH72+"Ug1!p#"</f>
        <v>#VALUE!</v>
      </c>
      <c r="EX26" t="e">
        <f ca="1">EfW!AI72+"Ug1!p$"</f>
        <v>#VALUE!</v>
      </c>
      <c r="EY26" t="e">
        <f ca="1">EfW!AJ72+"Ug1!p%"</f>
        <v>#VALUE!</v>
      </c>
      <c r="EZ26" t="e">
        <f ca="1">EfW!AK72+"Ug1!p&amp;"</f>
        <v>#VALUE!</v>
      </c>
      <c r="FA26" t="e">
        <f ca="1">EfW!AL72+"Ug1!p'"</f>
        <v>#VALUE!</v>
      </c>
      <c r="FB26" t="e">
        <f ca="1">EfW!AM72+"Ug1!p("</f>
        <v>#VALUE!</v>
      </c>
      <c r="FC26" t="e">
        <f ca="1">EfW!AN72+"Ug1!p)"</f>
        <v>#VALUE!</v>
      </c>
      <c r="FD26" t="e">
        <f ca="1">EfW!AO72+"Ug1!p."</f>
        <v>#VALUE!</v>
      </c>
      <c r="FE26" t="e">
        <f ca="1">EfW!AP72+"Ug1!p/"</f>
        <v>#VALUE!</v>
      </c>
      <c r="FF26" t="e">
        <f ca="1">EfW!AQ72+"Ug1!p0"</f>
        <v>#VALUE!</v>
      </c>
      <c r="FG26" t="e">
        <f ca="1">EfW!AR72+"Ug1!p1"</f>
        <v>#VALUE!</v>
      </c>
      <c r="FH26" t="e">
        <f ca="1">EfW!AS72+"Ug1!p2"</f>
        <v>#VALUE!</v>
      </c>
      <c r="FI26" t="e">
        <f ca="1">EfW!AT72+"Ug1!p3"</f>
        <v>#VALUE!</v>
      </c>
      <c r="FJ26" t="e">
        <f ca="1">EfW!AU72+"Ug1!p4"</f>
        <v>#VALUE!</v>
      </c>
      <c r="FK26" t="e">
        <f ca="1">EfW!AV72+"Ug1!p5"</f>
        <v>#VALUE!</v>
      </c>
      <c r="FL26" t="e">
        <f ca="1">EfW!AW72+"Ug1!p6"</f>
        <v>#VALUE!</v>
      </c>
      <c r="FM26" t="e">
        <f ca="1">EfW!AX72+"Ug1!p7"</f>
        <v>#VALUE!</v>
      </c>
      <c r="FN26" t="e">
        <f ca="1">EfW!AY72+"Ug1!p8"</f>
        <v>#VALUE!</v>
      </c>
      <c r="FO26" t="e">
        <f ca="1">EfW!AZ72+"Ug1!p9"</f>
        <v>#VALUE!</v>
      </c>
      <c r="FP26" t="e">
        <f ca="1">EfW!BA72+"Ug1!p:"</f>
        <v>#VALUE!</v>
      </c>
      <c r="FQ26" t="e">
        <f ca="1">EfW!BB72+"Ug1!p;"</f>
        <v>#VALUE!</v>
      </c>
      <c r="FR26" t="e">
        <f ca="1">EfW!BC72+"Ug1!p&lt;"</f>
        <v>#VALUE!</v>
      </c>
      <c r="FS26" t="e">
        <f ca="1">EfW!BD72+"Ug1!p="</f>
        <v>#VALUE!</v>
      </c>
      <c r="FT26" t="e">
        <f ca="1">EfW!BE72+"Ug1!p&gt;"</f>
        <v>#VALUE!</v>
      </c>
      <c r="FU26" t="e">
        <f ca="1">EfW!BF72+"Ug1!p?"</f>
        <v>#VALUE!</v>
      </c>
      <c r="FV26" t="e">
        <f ca="1">EfW!BG72+"Ug1!p@"</f>
        <v>#VALUE!</v>
      </c>
      <c r="FW26" t="e">
        <f ca="1">EfW!BH72+"Ug1!pA"</f>
        <v>#VALUE!</v>
      </c>
      <c r="FX26" t="e">
        <f ca="1">EfW!BI72+"Ug1!pB"</f>
        <v>#VALUE!</v>
      </c>
      <c r="FY26" t="e">
        <f ca="1">EfW!BJ72+"Ug1!pC"</f>
        <v>#VALUE!</v>
      </c>
      <c r="FZ26" t="e">
        <f ca="1">EfW!BK72+"Ug1!pD"</f>
        <v>#VALUE!</v>
      </c>
      <c r="GA26" t="e">
        <f ca="1">EfW!BL72+"Ug1!pE"</f>
        <v>#VALUE!</v>
      </c>
      <c r="GB26" t="e">
        <f ca="1">EfW!BM72+"Ug1!pF"</f>
        <v>#VALUE!</v>
      </c>
      <c r="GC26" t="e">
        <f ca="1">EfW!BN72+"Ug1!pG"</f>
        <v>#VALUE!</v>
      </c>
      <c r="GD26" t="e">
        <f ca="1">EfW!BO72+"Ug1!pH"</f>
        <v>#VALUE!</v>
      </c>
      <c r="GE26" t="e">
        <f ca="1">EfW!BP72+"Ug1!pI"</f>
        <v>#VALUE!</v>
      </c>
      <c r="GF26" t="e">
        <f ca="1">EfW!BQ72+"Ug1!pJ"</f>
        <v>#VALUE!</v>
      </c>
      <c r="GG26" t="e">
        <f ca="1">EfW!BR72+"Ug1!pK"</f>
        <v>#VALUE!</v>
      </c>
      <c r="GH26" t="e">
        <f ca="1">EfW!BS72+"Ug1!pL"</f>
        <v>#VALUE!</v>
      </c>
      <c r="GI26" t="e">
        <f ca="1">EfW!BT72+"Ug1!pM"</f>
        <v>#VALUE!</v>
      </c>
      <c r="GJ26" t="e">
        <f ca="1">EfW!BU72+"Ug1!pN"</f>
        <v>#VALUE!</v>
      </c>
      <c r="GK26" t="e">
        <f ca="1">EfW!BV72+"Ug1!pO"</f>
        <v>#VALUE!</v>
      </c>
      <c r="GL26" t="e">
        <f ca="1">EfW!BW72+"Ug1!pP"</f>
        <v>#VALUE!</v>
      </c>
      <c r="GM26" t="e">
        <f ca="1">EfW!BX72+"Ug1!pQ"</f>
        <v>#VALUE!</v>
      </c>
      <c r="GN26" t="e">
        <f ca="1">EfW!BY72+"Ug1!pR"</f>
        <v>#VALUE!</v>
      </c>
      <c r="GO26" t="e">
        <f ca="1">EfW!A73+"Ug1!pS"</f>
        <v>#VALUE!</v>
      </c>
      <c r="GP26" t="e">
        <f ca="1">EfW!B73+"Ug1!pT"</f>
        <v>#VALUE!</v>
      </c>
      <c r="GQ26" t="e">
        <f ca="1">EfW!C73+"Ug1!pU"</f>
        <v>#VALUE!</v>
      </c>
      <c r="GR26" t="e">
        <f ca="1">EfW!D73+"Ug1!pV"</f>
        <v>#VALUE!</v>
      </c>
      <c r="GS26" t="e">
        <f ca="1">EfW!E73+"Ug1!pW"</f>
        <v>#VALUE!</v>
      </c>
      <c r="GT26" t="e">
        <f ca="1">EfW!G73+"Ug1!pX"</f>
        <v>#VALUE!</v>
      </c>
      <c r="GU26" t="e">
        <f ca="1">EfW!J73+"Ug1!pY"</f>
        <v>#VALUE!</v>
      </c>
      <c r="GV26" t="e">
        <f ca="1">EfW!K73+"Ug1!pZ"</f>
        <v>#VALUE!</v>
      </c>
      <c r="GW26" t="e">
        <f ca="1">EfW!L73+"Ug1!p["</f>
        <v>#VALUE!</v>
      </c>
      <c r="GX26" t="e">
        <f ca="1">EfW!M73+"Ug1!p\"</f>
        <v>#VALUE!</v>
      </c>
      <c r="GY26" t="e">
        <f ca="1">EfW!N73+"Ug1!p]"</f>
        <v>#VALUE!</v>
      </c>
      <c r="GZ26" t="e">
        <f ca="1">EfW!O73+"Ug1!p^"</f>
        <v>#VALUE!</v>
      </c>
      <c r="HA26" t="e">
        <f ca="1">EfW!P73+"Ug1!p_"</f>
        <v>#VALUE!</v>
      </c>
      <c r="HB26" t="e">
        <f ca="1">EfW!Q73+"Ug1!p`"</f>
        <v>#VALUE!</v>
      </c>
      <c r="HC26" t="e">
        <f ca="1">EfW!R73+"Ug1!pa"</f>
        <v>#VALUE!</v>
      </c>
      <c r="HD26" t="e">
        <f ca="1">EfW!S73+"Ug1!pb"</f>
        <v>#VALUE!</v>
      </c>
      <c r="HE26" t="e">
        <f ca="1">EfW!T73+"Ug1!pc"</f>
        <v>#VALUE!</v>
      </c>
      <c r="HF26" t="e">
        <f ca="1">EfW!U73+"Ug1!pd"</f>
        <v>#VALUE!</v>
      </c>
      <c r="HG26" t="e">
        <f ca="1">EfW!V73+"Ug1!pe"</f>
        <v>#VALUE!</v>
      </c>
      <c r="HH26" t="e">
        <f ca="1">EfW!W73+"Ug1!pf"</f>
        <v>#VALUE!</v>
      </c>
      <c r="HI26" t="e">
        <f ca="1">EfW!X73+"Ug1!pg"</f>
        <v>#VALUE!</v>
      </c>
      <c r="HJ26" t="e">
        <f ca="1">EfW!Y73+"Ug1!ph"</f>
        <v>#VALUE!</v>
      </c>
      <c r="HK26" t="e">
        <f ca="1">EfW!Z73+"Ug1!pi"</f>
        <v>#VALUE!</v>
      </c>
      <c r="HL26" t="e">
        <f ca="1">EfW!AA73+"Ug1!pj"</f>
        <v>#VALUE!</v>
      </c>
      <c r="HM26" t="e">
        <f ca="1">EfW!AB73+"Ug1!pk"</f>
        <v>#VALUE!</v>
      </c>
      <c r="HN26" t="e">
        <f ca="1">EfW!AC73+"Ug1!pl"</f>
        <v>#VALUE!</v>
      </c>
      <c r="HO26" t="e">
        <f ca="1">EfW!AD73+"Ug1!pm"</f>
        <v>#VALUE!</v>
      </c>
      <c r="HP26" t="e">
        <f ca="1">EfW!AE73+"Ug1!pn"</f>
        <v>#VALUE!</v>
      </c>
      <c r="HQ26" t="e">
        <f ca="1">EfW!AF73+"Ug1!po"</f>
        <v>#VALUE!</v>
      </c>
      <c r="HR26" t="e">
        <f ca="1">EfW!AG73+"Ug1!pp"</f>
        <v>#VALUE!</v>
      </c>
      <c r="HS26" t="e">
        <f ca="1">EfW!AH73+"Ug1!pq"</f>
        <v>#VALUE!</v>
      </c>
      <c r="HT26" t="e">
        <f ca="1">EfW!AI73+"Ug1!pr"</f>
        <v>#VALUE!</v>
      </c>
      <c r="HU26" t="e">
        <f ca="1">EfW!AJ73+"Ug1!ps"</f>
        <v>#VALUE!</v>
      </c>
      <c r="HV26" t="e">
        <f ca="1">EfW!AK73+"Ug1!pt"</f>
        <v>#VALUE!</v>
      </c>
      <c r="HW26" t="e">
        <f ca="1">EfW!AL73+"Ug1!pu"</f>
        <v>#VALUE!</v>
      </c>
      <c r="HX26" t="e">
        <f ca="1">EfW!AM73+"Ug1!pv"</f>
        <v>#VALUE!</v>
      </c>
      <c r="HY26" t="e">
        <f ca="1">EfW!AN73+"Ug1!pw"</f>
        <v>#VALUE!</v>
      </c>
      <c r="HZ26" t="e">
        <f ca="1">EfW!AO73+"Ug1!px"</f>
        <v>#VALUE!</v>
      </c>
      <c r="IA26" t="e">
        <f ca="1">EfW!AP73+"Ug1!py"</f>
        <v>#VALUE!</v>
      </c>
      <c r="IB26" t="e">
        <f ca="1">EfW!AQ73+"Ug1!pz"</f>
        <v>#VALUE!</v>
      </c>
      <c r="IC26" t="e">
        <f ca="1">EfW!AR73+"Ug1!p{"</f>
        <v>#VALUE!</v>
      </c>
      <c r="ID26" t="e">
        <f ca="1">EfW!AS73+"Ug1!p|"</f>
        <v>#VALUE!</v>
      </c>
      <c r="IE26" t="e">
        <f ca="1">EfW!AT73+"Ug1!p}"</f>
        <v>#VALUE!</v>
      </c>
      <c r="IF26" t="e">
        <f ca="1">EfW!AU73+"Ug1!p~"</f>
        <v>#VALUE!</v>
      </c>
      <c r="IG26" t="e">
        <f ca="1">EfW!AV73+"Ug1!q#"</f>
        <v>#VALUE!</v>
      </c>
      <c r="IH26" t="e">
        <f ca="1">EfW!AW73+"Ug1!q$"</f>
        <v>#VALUE!</v>
      </c>
      <c r="II26" t="e">
        <f ca="1">EfW!AX73+"Ug1!q%"</f>
        <v>#VALUE!</v>
      </c>
      <c r="IJ26" t="e">
        <f ca="1">EfW!AY73+"Ug1!q&amp;"</f>
        <v>#VALUE!</v>
      </c>
      <c r="IK26" t="e">
        <f ca="1">EfW!AZ73+"Ug1!q'"</f>
        <v>#VALUE!</v>
      </c>
      <c r="IL26" t="e">
        <f ca="1">EfW!BA73+"Ug1!q("</f>
        <v>#VALUE!</v>
      </c>
      <c r="IM26" t="e">
        <f ca="1">EfW!BB73+"Ug1!q)"</f>
        <v>#VALUE!</v>
      </c>
      <c r="IN26" t="e">
        <f ca="1">EfW!BC73+"Ug1!q."</f>
        <v>#VALUE!</v>
      </c>
      <c r="IO26" t="e">
        <f ca="1">EfW!BD73+"Ug1!q/"</f>
        <v>#VALUE!</v>
      </c>
      <c r="IP26" t="e">
        <f ca="1">EfW!BE73+"Ug1!q0"</f>
        <v>#VALUE!</v>
      </c>
      <c r="IQ26" t="e">
        <f ca="1">EfW!BF73+"Ug1!q1"</f>
        <v>#VALUE!</v>
      </c>
      <c r="IR26" t="e">
        <f ca="1">EfW!BG73+"Ug1!q2"</f>
        <v>#VALUE!</v>
      </c>
      <c r="IS26" t="e">
        <f ca="1">EfW!BH73+"Ug1!q3"</f>
        <v>#VALUE!</v>
      </c>
      <c r="IT26" t="e">
        <f ca="1">EfW!BI73+"Ug1!q4"</f>
        <v>#VALUE!</v>
      </c>
      <c r="IU26" t="e">
        <f ca="1">EfW!BJ73+"Ug1!q5"</f>
        <v>#VALUE!</v>
      </c>
      <c r="IV26" t="e">
        <f ca="1">EfW!BK73+"Ug1!q6"</f>
        <v>#VALUE!</v>
      </c>
    </row>
    <row r="27" spans="6:256" x14ac:dyDescent="0.2">
      <c r="F27" t="e">
        <f ca="1">EfW!BL73+"Ug1!q7"</f>
        <v>#VALUE!</v>
      </c>
      <c r="G27" t="e">
        <f ca="1">EfW!BM73+"Ug1!q8"</f>
        <v>#VALUE!</v>
      </c>
      <c r="H27" t="e">
        <f ca="1">EfW!BN73+"Ug1!q9"</f>
        <v>#VALUE!</v>
      </c>
      <c r="I27" t="e">
        <f ca="1">EfW!BO73+"Ug1!q:"</f>
        <v>#VALUE!</v>
      </c>
      <c r="J27" t="e">
        <f ca="1">EfW!BP73+"Ug1!q;"</f>
        <v>#VALUE!</v>
      </c>
      <c r="K27" t="e">
        <f ca="1">EfW!BQ73+"Ug1!q&lt;"</f>
        <v>#VALUE!</v>
      </c>
      <c r="L27" t="e">
        <f ca="1">EfW!BR73+"Ug1!q="</f>
        <v>#VALUE!</v>
      </c>
      <c r="M27" t="e">
        <f ca="1">EfW!BS73+"Ug1!q&gt;"</f>
        <v>#VALUE!</v>
      </c>
      <c r="N27" t="e">
        <f ca="1">EfW!BT73+"Ug1!q?"</f>
        <v>#VALUE!</v>
      </c>
      <c r="O27" t="e">
        <f ca="1">EfW!BU73+"Ug1!q@"</f>
        <v>#VALUE!</v>
      </c>
      <c r="P27" t="e">
        <f ca="1">EfW!BV73+"Ug1!qA"</f>
        <v>#VALUE!</v>
      </c>
      <c r="Q27" t="e">
        <f ca="1">EfW!BW73+"Ug1!qB"</f>
        <v>#VALUE!</v>
      </c>
      <c r="R27" t="e">
        <f ca="1">EfW!BX73+"Ug1!qC"</f>
        <v>#VALUE!</v>
      </c>
      <c r="S27" t="e">
        <f ca="1">EfW!BY73+"Ug1!qD"</f>
        <v>#VALUE!</v>
      </c>
      <c r="T27" t="e">
        <f ca="1">Temp!A:A*"Ug1!qE"</f>
        <v>#VALUE!</v>
      </c>
      <c r="U27" t="e">
        <f ca="1">Temp!B:B*"Ug1!qF"</f>
        <v>#VALUE!</v>
      </c>
      <c r="V27" t="e">
        <f ca="1">Temp!C:C*"Ug1!qG"</f>
        <v>#VALUE!</v>
      </c>
      <c r="W27" t="e">
        <f ca="1">Temp!D:D*"Ug1!qH"</f>
        <v>#VALUE!</v>
      </c>
      <c r="X27" t="e">
        <f ca="1">Temp!E:E*"Ug1!qI"</f>
        <v>#VALUE!</v>
      </c>
      <c r="Y27" t="e">
        <f ca="1">Temp!F:F*"Ug1!qJ"</f>
        <v>#VALUE!</v>
      </c>
      <c r="Z27" t="e">
        <f ca="1">Temp!G:G*"Ug1!qK"</f>
        <v>#VALUE!</v>
      </c>
      <c r="AA27" t="e">
        <f ca="1">Temp!H:H*"Ug1!qL"</f>
        <v>#VALUE!</v>
      </c>
      <c r="AB27" t="e">
        <f ca="1">Temp!I:I*"Ug1!qM"</f>
        <v>#VALUE!</v>
      </c>
      <c r="AC27" t="e">
        <f ca="1">Temp!J:J*"Ug1!qN"</f>
        <v>#VALUE!</v>
      </c>
      <c r="AD27" t="e">
        <f ca="1">Temp!K:K*"Ug1!qO"</f>
        <v>#VALUE!</v>
      </c>
      <c r="AE27" t="e">
        <f ca="1">Temp!L:L*"Ug1!qP"</f>
        <v>#VALUE!</v>
      </c>
      <c r="AF27" t="e">
        <f ca="1">Temp!M:M*"Ug1!qQ"</f>
        <v>#VALUE!</v>
      </c>
      <c r="AG27" t="e">
        <f ca="1">Temp!N:N*"Ug1!qR"</f>
        <v>#VALUE!</v>
      </c>
      <c r="AH27" t="e">
        <f ca="1">Temp!O:O*"Ug1!qS"</f>
        <v>#VALUE!</v>
      </c>
      <c r="AI27" t="e">
        <f ca="1">Temp!P:P*"Ug1!qT"</f>
        <v>#VALUE!</v>
      </c>
      <c r="AJ27" t="e">
        <f ca="1">Temp!Q:Q*"Ug1!qU"</f>
        <v>#VALUE!</v>
      </c>
      <c r="AK27" t="e">
        <f ca="1">Temp!R:R*"Ug1!qV"</f>
        <v>#VALUE!</v>
      </c>
      <c r="AL27" t="e">
        <f ca="1">Temp!S:S*"Ug1!qW"</f>
        <v>#VALUE!</v>
      </c>
      <c r="AM27" t="e">
        <f ca="1">Temp!T:T*"Ug1!qX"</f>
        <v>#VALUE!</v>
      </c>
      <c r="AN27" t="e">
        <f ca="1">Temp!U:U*"Ug1!qY"</f>
        <v>#VALUE!</v>
      </c>
      <c r="AO27" t="e">
        <f ca="1">Temp!V:V*"Ug1!qZ"</f>
        <v>#VALUE!</v>
      </c>
      <c r="AP27" t="e">
        <f ca="1">Temp!W:W*"Ug1!q["</f>
        <v>#VALUE!</v>
      </c>
      <c r="AQ27" t="e">
        <f ca="1">Temp!X:X*"Ug1!q\"</f>
        <v>#VALUE!</v>
      </c>
      <c r="AR27" t="e">
        <f ca="1">Temp!Y:Y*"Ug1!q]"</f>
        <v>#VALUE!</v>
      </c>
      <c r="AS27" t="e">
        <f ca="1">Temp!Z:Z*"Ug1!q^"</f>
        <v>#VALUE!</v>
      </c>
      <c r="AT27" t="e">
        <f ca="1">Temp!AA:AA*"Ug1!q_"</f>
        <v>#VALUE!</v>
      </c>
      <c r="AU27" t="e">
        <f ca="1">Temp!AB:AB*"Ug1!q`"</f>
        <v>#VALUE!</v>
      </c>
      <c r="AV27" t="e">
        <f ca="1">Temp!AC:AC*"Ug1!qa"</f>
        <v>#VALUE!</v>
      </c>
      <c r="AW27" t="e">
        <f ca="1">Temp!AD:AD*"Ug1!qb"</f>
        <v>#VALUE!</v>
      </c>
      <c r="AX27" t="e">
        <f ca="1">Temp!AE:AE*"Ug1!qc"</f>
        <v>#VALUE!</v>
      </c>
      <c r="AY27" t="e">
        <f ca="1">Temp!AF:AF*"Ug1!qd"</f>
        <v>#VALUE!</v>
      </c>
      <c r="AZ27" t="e">
        <f ca="1">Temp!AG:AG*"Ug1!qe"</f>
        <v>#VALUE!</v>
      </c>
      <c r="BA27" t="e">
        <f ca="1">Temp!AH:AH*"Ug1!qf"</f>
        <v>#VALUE!</v>
      </c>
      <c r="BB27" t="e">
        <f ca="1">Temp!AI:AI*"Ug1!qg"</f>
        <v>#VALUE!</v>
      </c>
      <c r="BC27" t="e">
        <f ca="1">Temp!AJ:AJ*"Ug1!qh"</f>
        <v>#VALUE!</v>
      </c>
      <c r="BD27" t="e">
        <f ca="1">Temp!AK:AK*"Ug1!qi"</f>
        <v>#VALUE!</v>
      </c>
      <c r="BE27" t="e">
        <f ca="1">Temp!AL:AL*"Ug1!qj"</f>
        <v>#VALUE!</v>
      </c>
      <c r="BF27" t="e">
        <f ca="1">Temp!AM:AM*"Ug1!qk"</f>
        <v>#VALUE!</v>
      </c>
      <c r="BG27" t="e">
        <f ca="1">Temp!AN:AN*"Ug1!ql"</f>
        <v>#VALUE!</v>
      </c>
      <c r="BH27" t="e">
        <f ca="1">Temp!AO:AO*"Ug1!qm"</f>
        <v>#VALUE!</v>
      </c>
      <c r="BI27" t="e">
        <f ca="1">Temp!AP:AP*"Ug1!qn"</f>
        <v>#VALUE!</v>
      </c>
      <c r="BJ27" t="e">
        <f ca="1">Temp!AQ:AQ*"Ug1!qo"</f>
        <v>#VALUE!</v>
      </c>
      <c r="BK27" t="e">
        <f ca="1">Temp!AR:AR*"Ug1!qp"</f>
        <v>#VALUE!</v>
      </c>
      <c r="BL27" t="e">
        <f ca="1">Temp!AS:AS*"Ug1!qq"</f>
        <v>#VALUE!</v>
      </c>
      <c r="BM27" t="e">
        <f ca="1">Temp!AT:AT*"Ug1!qr"</f>
        <v>#VALUE!</v>
      </c>
      <c r="BN27" t="e">
        <f ca="1">Temp!AU:AU*"Ug1!qs"</f>
        <v>#VALUE!</v>
      </c>
      <c r="BO27" t="e">
        <f ca="1">Temp!AV:AV*"Ug1!qt"</f>
        <v>#VALUE!</v>
      </c>
      <c r="BP27" t="e">
        <f ca="1">Temp!AW:AW*"Ug1!qu"</f>
        <v>#VALUE!</v>
      </c>
      <c r="BQ27" t="e">
        <f ca="1">Temp!AX:AX*"Ug1!qv"</f>
        <v>#VALUE!</v>
      </c>
      <c r="BR27" t="e">
        <f ca="1">Temp!AY:AY*"Ug1!qw"</f>
        <v>#VALUE!</v>
      </c>
      <c r="BS27" t="e">
        <f ca="1">Temp!AZ:AZ*"Ug1!qx"</f>
        <v>#VALUE!</v>
      </c>
      <c r="BT27" t="e">
        <f ca="1">Temp!BA:BA*"Ug1!qy"</f>
        <v>#VALUE!</v>
      </c>
      <c r="BU27" t="e">
        <f ca="1">Temp!BB:BB*"Ug1!qz"</f>
        <v>#VALUE!</v>
      </c>
      <c r="BV27" t="e">
        <f ca="1">Temp!BC:BC*"Ug1!q{"</f>
        <v>#VALUE!</v>
      </c>
      <c r="BW27" t="e">
        <f ca="1">Temp!BD:BD*"Ug1!q|"</f>
        <v>#VALUE!</v>
      </c>
      <c r="BX27" t="e">
        <f ca="1">Temp!BE:BE*"Ug1!q}"</f>
        <v>#VALUE!</v>
      </c>
      <c r="BY27" t="e">
        <f ca="1">Temp!BF:BF*"Ug1!q~"</f>
        <v>#VALUE!</v>
      </c>
      <c r="BZ27" t="e">
        <f ca="1">Temp!BG:BG*"Ug1!r#"</f>
        <v>#VALUE!</v>
      </c>
      <c r="CA27" t="e">
        <f ca="1">Temp!BH:BH*"Ug1!r$"</f>
        <v>#VALUE!</v>
      </c>
      <c r="CB27" t="e">
        <f ca="1">Temp!BI:BI*"Ug1!r%"</f>
        <v>#VALUE!</v>
      </c>
      <c r="CC27" t="e">
        <f ca="1">Temp!BJ:BJ*"Ug1!r&amp;"</f>
        <v>#VALUE!</v>
      </c>
      <c r="CD27" t="e">
        <f ca="1">Temp!BK:BK*"Ug1!r'"</f>
        <v>#VALUE!</v>
      </c>
      <c r="CE27" t="e">
        <f ca="1">Temp!BL:BL*"Ug1!r("</f>
        <v>#VALUE!</v>
      </c>
      <c r="CF27" t="e">
        <f ca="1">Temp!BM:BM*"Ug1!r)"</f>
        <v>#VALUE!</v>
      </c>
      <c r="CG27" t="e">
        <f ca="1">Temp!BN:BN*"Ug1!r."</f>
        <v>#VALUE!</v>
      </c>
      <c r="CH27" t="e">
        <f ca="1">Temp!BO:BO*"Ug1!r/"</f>
        <v>#VALUE!</v>
      </c>
      <c r="CI27" t="e">
        <f ca="1">Temp!BP:BP*"Ug1!r0"</f>
        <v>#VALUE!</v>
      </c>
      <c r="CJ27" t="e">
        <f ca="1">Temp!BQ:BQ*"Ug1!r1"</f>
        <v>#VALUE!</v>
      </c>
      <c r="CK27" t="e">
        <f ca="1">Temp!BR:BR*"Ug1!r2"</f>
        <v>#VALUE!</v>
      </c>
      <c r="CL27" t="e">
        <f ca="1">Temp!BS:BS*"Ug1!r3"</f>
        <v>#VALUE!</v>
      </c>
      <c r="CM27" t="e">
        <f ca="1">Temp!BT:BT*"Ug1!r4"</f>
        <v>#VALUE!</v>
      </c>
      <c r="CN27" t="e">
        <f ca="1">Temp!BU:BU*"Ug1!r5"</f>
        <v>#VALUE!</v>
      </c>
      <c r="CO27" t="e">
        <f ca="1">Temp!BV:BV*"Ug1!r6"</f>
        <v>#VALUE!</v>
      </c>
      <c r="CP27" t="e">
        <f ca="1">Temp!BW:BW*"Ug1!r7"</f>
        <v>#VALUE!</v>
      </c>
      <c r="CQ27" t="e">
        <f ca="1">Temp!BX:BX*"Ug1!r8"</f>
        <v>#VALUE!</v>
      </c>
      <c r="CR27" t="e">
        <f ca="1">Temp!BY:BY*"Ug1!r9"</f>
        <v>#VALUE!</v>
      </c>
      <c r="CS27" t="e">
        <f ca="1">Temp!BZ:BZ*"Ug1!r:"</f>
        <v>#VALUE!</v>
      </c>
      <c r="CT27" t="e">
        <f ca="1">Temp!CA:CA*"Ug1!r;"</f>
        <v>#VALUE!</v>
      </c>
      <c r="CU27" t="e">
        <f ca="1">Temp!CB:CB*"Ug1!r&lt;"</f>
        <v>#VALUE!</v>
      </c>
      <c r="CV27" t="e">
        <f ca="1">Temp!CC:CC*"Ug1!r="</f>
        <v>#VALUE!</v>
      </c>
      <c r="CW27" t="e">
        <f ca="1">Temp!CD:CD*"Ug1!r&gt;"</f>
        <v>#VALUE!</v>
      </c>
      <c r="CX27" t="e">
        <f ca="1">Temp!CE:CE*"Ug1!r?"</f>
        <v>#VALUE!</v>
      </c>
      <c r="CY27" t="e">
        <f ca="1">Temp!CF:CF*"Ug1!r@"</f>
        <v>#VALUE!</v>
      </c>
      <c r="CZ27" t="e">
        <f ca="1">Temp!CG:CG*"Ug1!rA"</f>
        <v>#VALUE!</v>
      </c>
      <c r="DA27" t="e">
        <f ca="1">Temp!CH:CH*"Ug1!rB"</f>
        <v>#VALUE!</v>
      </c>
      <c r="DB27" t="e">
        <f ca="1">Temp!CI:CI*"Ug1!rC"</f>
        <v>#VALUE!</v>
      </c>
      <c r="DC27" t="e">
        <f ca="1">Temp!CJ:CJ*"Ug1!rD"</f>
        <v>#VALUE!</v>
      </c>
      <c r="DD27" t="e">
        <f ca="1">Temp!CK:CK*"Ug1!rE"</f>
        <v>#VALUE!</v>
      </c>
      <c r="DE27" t="e">
        <f ca="1">Temp!CL:CL*"Ug1!rF"</f>
        <v>#VALUE!</v>
      </c>
      <c r="DF27" t="e">
        <f ca="1">Temp!CM:CM*"Ug1!rG"</f>
        <v>#VALUE!</v>
      </c>
      <c r="DG27" t="e">
        <f ca="1">Temp!CN:CN*"Ug1!rH"</f>
        <v>#VALUE!</v>
      </c>
      <c r="DH27" t="e">
        <f ca="1">Temp!CO:CO*"Ug1!rI"</f>
        <v>#VALUE!</v>
      </c>
      <c r="DI27" t="e">
        <f ca="1">Temp!CP:CP*"Ug1!rJ"</f>
        <v>#VALUE!</v>
      </c>
      <c r="DJ27" t="e">
        <f ca="1">Temp!CQ:CQ*"Ug1!rK"</f>
        <v>#VALUE!</v>
      </c>
      <c r="DK27" t="e">
        <f ca="1">Temp!CR:CR*"Ug1!rL"</f>
        <v>#VALUE!</v>
      </c>
      <c r="DL27" t="e">
        <f ca="1">Temp!CS:CS*"Ug1!rM"</f>
        <v>#VALUE!</v>
      </c>
      <c r="DM27" t="e">
        <f ca="1">Temp!CT:CT*"Ug1!rN"</f>
        <v>#VALUE!</v>
      </c>
      <c r="DN27" t="e">
        <f ca="1">Temp!CU:CU*"Ug1!rO"</f>
        <v>#VALUE!</v>
      </c>
      <c r="DO27" t="e">
        <f ca="1">Temp!CV:CV*"Ug1!rP"</f>
        <v>#VALUE!</v>
      </c>
      <c r="DP27" t="e">
        <f ca="1">Temp!CW:CW*"Ug1!rQ"</f>
        <v>#VALUE!</v>
      </c>
      <c r="DQ27" t="e">
        <f ca="1">Temp!CX:CX*"Ug1!rR"</f>
        <v>#VALUE!</v>
      </c>
      <c r="DR27" t="e">
        <f ca="1">Temp!CY:CY*"Ug1!rS"</f>
        <v>#VALUE!</v>
      </c>
      <c r="DS27" t="e">
        <f ca="1">Temp!CZ:CZ*"Ug1!rT"</f>
        <v>#VALUE!</v>
      </c>
      <c r="DT27" t="e">
        <f ca="1">Temp!DA:DA*"Ug1!rU"</f>
        <v>#VALUE!</v>
      </c>
      <c r="DU27" t="e">
        <f ca="1">Temp!DB:DB*"Ug1!rV"</f>
        <v>#VALUE!</v>
      </c>
      <c r="DV27" t="e">
        <f ca="1">Temp!DC:DC*"Ug1!rW"</f>
        <v>#VALUE!</v>
      </c>
      <c r="DW27" t="e">
        <f ca="1">Temp!DD:DD*"Ug1!rX"</f>
        <v>#VALUE!</v>
      </c>
      <c r="DX27" t="e">
        <f ca="1">Temp!DE:DE*"Ug1!rY"</f>
        <v>#VALUE!</v>
      </c>
      <c r="DY27" t="e">
        <f ca="1">Temp!DF:DF*"Ug1!rZ"</f>
        <v>#VALUE!</v>
      </c>
      <c r="DZ27" t="e">
        <f ca="1">Temp!DG:DG*"Ug1!r["</f>
        <v>#VALUE!</v>
      </c>
      <c r="EA27" t="e">
        <f ca="1">Temp!DH:DH*"Ug1!r\"</f>
        <v>#VALUE!</v>
      </c>
      <c r="EB27" t="e">
        <f ca="1">Temp!DI:DI*"Ug1!r]"</f>
        <v>#VALUE!</v>
      </c>
      <c r="EC27" t="e">
        <f ca="1">Temp!DJ:DJ*"Ug1!r^"</f>
        <v>#VALUE!</v>
      </c>
      <c r="ED27" t="e">
        <f ca="1">Temp!DK:DK*"Ug1!r_"</f>
        <v>#VALUE!</v>
      </c>
      <c r="EE27" t="e">
        <f ca="1">Temp!DL:DL*"Ug1!r`"</f>
        <v>#VALUE!</v>
      </c>
      <c r="EF27" t="e">
        <f ca="1">Temp!DM:DM*"Ug1!ra"</f>
        <v>#VALUE!</v>
      </c>
      <c r="EG27" t="e">
        <f ca="1">Temp!DN:DN*"Ug1!rb"</f>
        <v>#VALUE!</v>
      </c>
      <c r="EH27" t="e">
        <f ca="1">Temp!DO:DO*"Ug1!rc"</f>
        <v>#VALUE!</v>
      </c>
      <c r="EI27" t="e">
        <f ca="1">Temp!DP:DP*"Ug1!rd"</f>
        <v>#VALUE!</v>
      </c>
      <c r="EJ27" t="e">
        <f ca="1">Temp!DQ:DQ*"Ug1!re"</f>
        <v>#VALUE!</v>
      </c>
      <c r="EK27" t="e">
        <f ca="1">Temp!DR:DR*"Ug1!rf"</f>
        <v>#VALUE!</v>
      </c>
      <c r="EL27" t="e">
        <f ca="1">Temp!DS:DS*"Ug1!rg"</f>
        <v>#VALUE!</v>
      </c>
      <c r="EM27" t="e">
        <f ca="1">Temp!DT:DT*"Ug1!rh"</f>
        <v>#VALUE!</v>
      </c>
      <c r="EN27" t="e">
        <f ca="1">Temp!DU:DU*"Ug1!ri"</f>
        <v>#VALUE!</v>
      </c>
      <c r="EO27" t="e">
        <f ca="1">Temp!DV:DV*"Ug1!rj"</f>
        <v>#VALUE!</v>
      </c>
      <c r="EP27" t="e">
        <f ca="1">Temp!DW:DW*"Ug1!rk"</f>
        <v>#VALUE!</v>
      </c>
      <c r="EQ27" t="e">
        <f ca="1">Temp!1:1-"Ug1!rl"</f>
        <v>#VALUE!</v>
      </c>
      <c r="ER27" t="e">
        <f ca="1">Temp!2:2-"Ug1!rm"</f>
        <v>#VALUE!</v>
      </c>
      <c r="ES27" t="e">
        <f ca="1">Temp!3:3-"Ug1!rn"</f>
        <v>#VALUE!</v>
      </c>
      <c r="ET27" t="e">
        <f ca="1">Temp!4:4-"Ug1!ro"</f>
        <v>#VALUE!</v>
      </c>
      <c r="EU27" t="e">
        <f ca="1">Temp!5:5-"Ug1!rp"</f>
        <v>#VALUE!</v>
      </c>
      <c r="EV27" t="e">
        <f ca="1">Temp!6:6-"Ug1!rq"</f>
        <v>#VALUE!</v>
      </c>
      <c r="EW27" t="e">
        <f ca="1">Temp!7:7-"Ug1!rr"</f>
        <v>#VALUE!</v>
      </c>
      <c r="EX27" t="e">
        <f ca="1">Temp!8:8-"Ug1!rs"</f>
        <v>#VALUE!</v>
      </c>
      <c r="EY27" t="e">
        <f ca="1">Temp!9:9-"Ug1!rt"</f>
        <v>#VALUE!</v>
      </c>
      <c r="EZ27" t="e">
        <f ca="1">Temp!10:10-"Ug1!ru"</f>
        <v>#VALUE!</v>
      </c>
      <c r="FA27" t="e">
        <f ca="1">Temp!11:11-"Ug1!rv"</f>
        <v>#VALUE!</v>
      </c>
      <c r="FB27" t="e">
        <f ca="1">Temp!12:12-"Ug1!rw"</f>
        <v>#VALUE!</v>
      </c>
      <c r="FC27" t="e">
        <f ca="1">Temp!13:13-"Ug1!rx"</f>
        <v>#VALUE!</v>
      </c>
      <c r="FD27" t="e">
        <f ca="1">Temp!14:14-"Ug1!ry"</f>
        <v>#VALUE!</v>
      </c>
      <c r="FE27" t="e">
        <f ca="1">Temp!15:15-"Ug1!rz"</f>
        <v>#VALUE!</v>
      </c>
      <c r="FF27" t="e">
        <f ca="1">Temp!16:16-"Ug1!r{"</f>
        <v>#VALUE!</v>
      </c>
      <c r="FG27" t="e">
        <f ca="1">Temp!17:17-"Ug1!r|"</f>
        <v>#VALUE!</v>
      </c>
      <c r="FH27" t="e">
        <f ca="1">Temp!18:18-"Ug1!r}"</f>
        <v>#VALUE!</v>
      </c>
      <c r="FI27" t="e">
        <f ca="1">Temp!19:19-"Ug1!r~"</f>
        <v>#VALUE!</v>
      </c>
      <c r="FJ27" t="e">
        <f ca="1">Temp!20:20-"Ug1!s#"</f>
        <v>#VALUE!</v>
      </c>
      <c r="FK27" t="e">
        <f ca="1">Temp!21:21-"Ug1!s$"</f>
        <v>#VALUE!</v>
      </c>
      <c r="FL27" t="e">
        <f ca="1">Temp!22:22-"Ug1!s%"</f>
        <v>#VALUE!</v>
      </c>
      <c r="FM27" t="e">
        <f ca="1">Temp!23:23-"Ug1!s&amp;"</f>
        <v>#VALUE!</v>
      </c>
      <c r="FN27" t="e">
        <f ca="1">Temp!24:24-"Ug1!s'"</f>
        <v>#VALUE!</v>
      </c>
      <c r="FO27" t="e">
        <f ca="1">Temp!25:25-"Ug1!s("</f>
        <v>#VALUE!</v>
      </c>
      <c r="FP27" t="e">
        <f ca="1">Temp!26:26-"Ug1!s)"</f>
        <v>#VALUE!</v>
      </c>
      <c r="FQ27" t="e">
        <f ca="1">Temp!27:27-"Ug1!s."</f>
        <v>#VALUE!</v>
      </c>
      <c r="FR27" t="e">
        <f ca="1">Temp!28:28-"Ug1!s/"</f>
        <v>#VALUE!</v>
      </c>
      <c r="FS27" t="e">
        <f ca="1">Temp!29:29-"Ug1!s0"</f>
        <v>#VALUE!</v>
      </c>
      <c r="FT27" t="e">
        <f ca="1">Temp!30:30-"Ug1!s1"</f>
        <v>#VALUE!</v>
      </c>
      <c r="FU27" t="e">
        <f ca="1">Temp!31:31-"Ug1!s2"</f>
        <v>#VALUE!</v>
      </c>
      <c r="FV27" t="e">
        <f ca="1">Temp!32:32-"Ug1!s3"</f>
        <v>#VALUE!</v>
      </c>
      <c r="FW27" t="e">
        <f ca="1">Temp!33:33-"Ug1!s4"</f>
        <v>#VALUE!</v>
      </c>
      <c r="FX27" t="e">
        <f ca="1">Temp!34:34-"Ug1!s5"</f>
        <v>#VALUE!</v>
      </c>
      <c r="FY27" t="e">
        <f ca="1">Temp!35:35-"Ug1!s6"</f>
        <v>#VALUE!</v>
      </c>
      <c r="FZ27" t="e">
        <f ca="1">Temp!36:36-"Ug1!s7"</f>
        <v>#VALUE!</v>
      </c>
      <c r="GA27" t="e">
        <f ca="1">Temp!37:37-"Ug1!s8"</f>
        <v>#VALUE!</v>
      </c>
      <c r="GB27" t="e">
        <f ca="1">Temp!38:38-"Ug1!s9"</f>
        <v>#VALUE!</v>
      </c>
      <c r="GC27" t="e">
        <f ca="1">Temp!39:39-"Ug1!s:"</f>
        <v>#VALUE!</v>
      </c>
      <c r="GD27" t="e">
        <f ca="1">Temp!40:40-"Ug1!s;"</f>
        <v>#VALUE!</v>
      </c>
      <c r="GE27" t="e">
        <f ca="1">Temp!41:41-"Ug1!s&lt;"</f>
        <v>#VALUE!</v>
      </c>
      <c r="GF27" t="e">
        <f ca="1">Temp!42:42-"Ug1!s="</f>
        <v>#VALUE!</v>
      </c>
      <c r="GG27" t="e">
        <f ca="1">Temp!43:43-"Ug1!s&gt;"</f>
        <v>#VALUE!</v>
      </c>
      <c r="GH27" t="e">
        <f ca="1">Temp!44:44-"Ug1!s?"</f>
        <v>#VALUE!</v>
      </c>
      <c r="GI27" t="e">
        <f ca="1">Temp!45:45-"Ug1!s@"</f>
        <v>#VALUE!</v>
      </c>
      <c r="GJ27" t="e">
        <f ca="1">Temp!46:46-"Ug1!sA"</f>
        <v>#VALUE!</v>
      </c>
      <c r="GK27" t="e">
        <f ca="1">Temp!47:47-"Ug1!sB"</f>
        <v>#VALUE!</v>
      </c>
      <c r="GL27" t="e">
        <f ca="1">Temp!48:48-"Ug1!sC"</f>
        <v>#VALUE!</v>
      </c>
      <c r="GM27" t="e">
        <f ca="1">Temp!49:49-"Ug1!sD"</f>
        <v>#VALUE!</v>
      </c>
      <c r="GN27" t="e">
        <f ca="1">Temp!50:50-"Ug1!sE"</f>
        <v>#VALUE!</v>
      </c>
      <c r="GO27" t="e">
        <f ca="1">Temp!51:51-"Ug1!sF"</f>
        <v>#VALUE!</v>
      </c>
      <c r="GP27" t="e">
        <f ca="1">Temp!52:52-"Ug1!sG"</f>
        <v>#VALUE!</v>
      </c>
      <c r="GQ27" t="e">
        <f ca="1">Temp!53:53-"Ug1!sH"</f>
        <v>#VALUE!</v>
      </c>
      <c r="GR27" t="e">
        <f ca="1">Temp!54:54-"Ug1!sI"</f>
        <v>#VALUE!</v>
      </c>
      <c r="GS27" t="e">
        <f ca="1">Temp!55:55-"Ug1!sJ"</f>
        <v>#VALUE!</v>
      </c>
      <c r="GT27" t="e">
        <f ca="1">Temp!56:56-"Ug1!sK"</f>
        <v>#VALUE!</v>
      </c>
      <c r="GU27" t="e">
        <f ca="1">Temp!57:57-"Ug1!sL"</f>
        <v>#VALUE!</v>
      </c>
      <c r="GV27" t="e">
        <f ca="1">Temp!58:58-"Ug1!sM"</f>
        <v>#VALUE!</v>
      </c>
      <c r="GW27" t="e">
        <f ca="1">Temp!59:59-"Ug1!sN"</f>
        <v>#VALUE!</v>
      </c>
      <c r="GX27" t="e">
        <f ca="1">Temp!60:60-"Ug1!sO"</f>
        <v>#VALUE!</v>
      </c>
      <c r="GY27" t="e">
        <f ca="1">Temp!61:61-"Ug1!sP"</f>
        <v>#VALUE!</v>
      </c>
      <c r="GZ27" t="e">
        <f ca="1">Temp!62:62-"Ug1!sQ"</f>
        <v>#VALUE!</v>
      </c>
      <c r="HA27" t="e">
        <f ca="1">Temp!63:63-"Ug1!sR"</f>
        <v>#VALUE!</v>
      </c>
      <c r="HB27" t="e">
        <f ca="1">Temp!64:64-"Ug1!sS"</f>
        <v>#VALUE!</v>
      </c>
      <c r="HC27" t="e">
        <f ca="1">Temp!65:65-"Ug1!sT"</f>
        <v>#VALUE!</v>
      </c>
      <c r="HD27" t="e">
        <f ca="1">Temp!66:66-"Ug1!sU"</f>
        <v>#VALUE!</v>
      </c>
      <c r="HE27" t="e">
        <f ca="1">Temp!67:67-"Ug1!sV"</f>
        <v>#VALUE!</v>
      </c>
      <c r="HF27" t="e">
        <f ca="1">Temp!68:68-"Ug1!sW"</f>
        <v>#VALUE!</v>
      </c>
      <c r="HG27" t="e">
        <f ca="1">Temp!69:69-"Ug1!sX"</f>
        <v>#VALUE!</v>
      </c>
      <c r="HH27" t="e">
        <f ca="1">Temp!70:70-"Ug1!sY"</f>
        <v>#VALUE!</v>
      </c>
      <c r="HI27" t="e">
        <f ca="1">Temp!71:71-"Ug1!sZ"</f>
        <v>#VALUE!</v>
      </c>
      <c r="HJ27" t="e">
        <f ca="1">Temp!72:72-"Ug1!s["</f>
        <v>#VALUE!</v>
      </c>
      <c r="HK27" t="e">
        <f ca="1">Temp!73:73-"Ug1!s\"</f>
        <v>#VALUE!</v>
      </c>
      <c r="HL27" t="e">
        <f ca="1">Temp!74:74-"Ug1!s]"</f>
        <v>#VALUE!</v>
      </c>
      <c r="HM27" t="e">
        <f ca="1">Temp!75:75-"Ug1!s^"</f>
        <v>#VALUE!</v>
      </c>
      <c r="HN27" t="e">
        <f ca="1">Temp!76:76-"Ug1!s_"</f>
        <v>#VALUE!</v>
      </c>
      <c r="HO27" t="e">
        <f ca="1">Temp!77:77-"Ug1!s`"</f>
        <v>#VALUE!</v>
      </c>
      <c r="HP27" t="e">
        <f ca="1">Temp!78:78-"Ug1!sa"</f>
        <v>#VALUE!</v>
      </c>
      <c r="HQ27" t="e">
        <f ca="1">Temp!79:79-"Ug1!sb"</f>
        <v>#VALUE!</v>
      </c>
      <c r="HR27" t="e">
        <f ca="1">Temp!80:80-"Ug1!sc"</f>
        <v>#VALUE!</v>
      </c>
      <c r="HS27" t="e">
        <f ca="1">Temp!81:81-"Ug1!sd"</f>
        <v>#VALUE!</v>
      </c>
      <c r="HT27" t="e">
        <f ca="1">Temp!82:82-"Ug1!se"</f>
        <v>#VALUE!</v>
      </c>
      <c r="HU27" t="e">
        <f ca="1">Temp!83:83-"Ug1!sf"</f>
        <v>#VALUE!</v>
      </c>
      <c r="HV27" t="e">
        <f ca="1">Temp!84:84-"Ug1!sg"</f>
        <v>#VALUE!</v>
      </c>
      <c r="HW27" t="e">
        <f ca="1">Temp!85:85-"Ug1!sh"</f>
        <v>#VALUE!</v>
      </c>
      <c r="HX27" t="e">
        <f ca="1">Temp!86:86-"Ug1!si"</f>
        <v>#VALUE!</v>
      </c>
      <c r="HY27" t="e">
        <f ca="1">Temp!87:87-"Ug1!sj"</f>
        <v>#VALUE!</v>
      </c>
      <c r="HZ27" t="e">
        <f ca="1">Temp!88:88-"Ug1!sk"</f>
        <v>#VALUE!</v>
      </c>
      <c r="IA27" t="e">
        <f ca="1">Temp!89:89-"Ug1!sl"</f>
        <v>#VALUE!</v>
      </c>
      <c r="IB27" t="e">
        <f ca="1">Temp!90:90-"Ug1!sm"</f>
        <v>#VALUE!</v>
      </c>
      <c r="IC27" t="e">
        <f ca="1">Temp!91:91-"Ug1!sn"</f>
        <v>#VALUE!</v>
      </c>
      <c r="ID27" t="e">
        <f ca="1">Temp!92:92-"Ug1!so"</f>
        <v>#VALUE!</v>
      </c>
      <c r="IE27" t="e">
        <f ca="1">Temp!93:93-"Ug1!sp"</f>
        <v>#VALUE!</v>
      </c>
      <c r="IF27" t="e">
        <f ca="1">Temp!94:94-"Ug1!sq"</f>
        <v>#VALUE!</v>
      </c>
      <c r="IG27" t="e">
        <f ca="1">Temp!95:95-"Ug1!sr"</f>
        <v>#VALUE!</v>
      </c>
      <c r="IH27" t="e">
        <f ca="1">Temp!96:96-"Ug1!ss"</f>
        <v>#VALUE!</v>
      </c>
      <c r="II27" t="e">
        <f ca="1">Temp!97:97-"Ug1!st"</f>
        <v>#VALUE!</v>
      </c>
      <c r="IJ27" t="e">
        <f ca="1">Temp!98:98-"Ug1!su"</f>
        <v>#VALUE!</v>
      </c>
      <c r="IK27" t="e">
        <f ca="1">Temp!99:99-"Ug1!sv"</f>
        <v>#VALUE!</v>
      </c>
      <c r="IL27" t="e">
        <f ca="1">Temp!100:100-"Ug1!sw"</f>
        <v>#VALUE!</v>
      </c>
      <c r="IM27" t="e">
        <f ca="1">Temp!101:101-"Ug1!sx"</f>
        <v>#VALUE!</v>
      </c>
      <c r="IN27" t="e">
        <f ca="1">Temp!102:102-"Ug1!sy"</f>
        <v>#VALUE!</v>
      </c>
      <c r="IO27" t="e">
        <f ca="1">Temp!103:103-"Ug1!sz"</f>
        <v>#VALUE!</v>
      </c>
      <c r="IP27" t="e">
        <f ca="1">Temp!104:104-"Ug1!s{"</f>
        <v>#VALUE!</v>
      </c>
      <c r="IQ27" t="e">
        <f ca="1">Temp!105:105-"Ug1!s|"</f>
        <v>#VALUE!</v>
      </c>
      <c r="IR27" t="e">
        <f ca="1">Temp!106:106-"Ug1!s}"</f>
        <v>#VALUE!</v>
      </c>
      <c r="IS27" t="e">
        <f ca="1">Temp!107:107-"Ug1!s~"</f>
        <v>#VALUE!</v>
      </c>
      <c r="IT27" t="e">
        <f ca="1">Temp!108:108-"Ug1!t#"</f>
        <v>#VALUE!</v>
      </c>
      <c r="IU27" t="e">
        <f ca="1">Temp!109:109-"Ug1!t$"</f>
        <v>#VALUE!</v>
      </c>
      <c r="IV27" t="e">
        <f ca="1">Temp!110:110-"Ug1!t%"</f>
        <v>#VALUE!</v>
      </c>
    </row>
    <row r="28" spans="6:256" x14ac:dyDescent="0.2">
      <c r="F28" t="e">
        <f ca="1">Temp!111:111-"Ug1!t&amp;"</f>
        <v>#VALUE!</v>
      </c>
      <c r="G28" t="e">
        <f ca="1">Temp!112:112-"Ug1!t'"</f>
        <v>#VALUE!</v>
      </c>
      <c r="H28" t="e">
        <f ca="1">Temp!113:113-"Ug1!t("</f>
        <v>#VALUE!</v>
      </c>
      <c r="I28" t="e">
        <f ca="1">Temp!114:114-"Ug1!t)"</f>
        <v>#VALUE!</v>
      </c>
      <c r="J28" t="e">
        <f ca="1">Temp!115:115-"Ug1!t."</f>
        <v>#VALUE!</v>
      </c>
      <c r="K28" t="e">
        <f ca="1">Temp!116:116-"Ug1!t/"</f>
        <v>#VALUE!</v>
      </c>
      <c r="L28" t="e">
        <f ca="1">Temp!117:117-"Ug1!t0"</f>
        <v>#VALUE!</v>
      </c>
      <c r="M28" t="e">
        <f ca="1">Temp!118:118-"Ug1!t1"</f>
        <v>#VALUE!</v>
      </c>
      <c r="N28" t="e">
        <f ca="1">Temp!119:119-"Ug1!t2"</f>
        <v>#VALUE!</v>
      </c>
      <c r="O28" t="e">
        <f ca="1">Temp!120:120-"Ug1!t3"</f>
        <v>#VALUE!</v>
      </c>
      <c r="P28" t="e">
        <f ca="1">Temp!121:121-"Ug1!t4"</f>
        <v>#VALUE!</v>
      </c>
      <c r="Q28" t="e">
        <f ca="1">Temp!122:122-"Ug1!t5"</f>
        <v>#VALUE!</v>
      </c>
      <c r="R28" t="e">
        <f ca="1">Temp!123:123-"Ug1!t6"</f>
        <v>#VALUE!</v>
      </c>
      <c r="S28" t="e">
        <f ca="1">Temp!124:124-"Ug1!t7"</f>
        <v>#VALUE!</v>
      </c>
      <c r="T28" t="e">
        <f ca="1">Temp!125:125-"Ug1!t8"</f>
        <v>#VALUE!</v>
      </c>
      <c r="U28" t="e">
        <f ca="1">Temp!126:126-"Ug1!t9"</f>
        <v>#VALUE!</v>
      </c>
      <c r="V28" t="e">
        <f ca="1">Temp!127:127-"Ug1!t:"</f>
        <v>#VALUE!</v>
      </c>
      <c r="W28" t="e">
        <f ca="1">Temp!128:128-"Ug1!t;"</f>
        <v>#VALUE!</v>
      </c>
      <c r="X28" t="e">
        <f ca="1">Temp!129:129-"Ug1!t&lt;"</f>
        <v>#VALUE!</v>
      </c>
      <c r="Y28" t="e">
        <f ca="1">Temp!130:130-"Ug1!t="</f>
        <v>#VALUE!</v>
      </c>
      <c r="Z28" t="e">
        <f ca="1">Temp!131:131-"Ug1!t&gt;"</f>
        <v>#VALUE!</v>
      </c>
      <c r="AA28" t="e">
        <f ca="1">Temp!132:132-"Ug1!t?"</f>
        <v>#VALUE!</v>
      </c>
      <c r="AB28" t="e">
        <f ca="1">Temp!133:133-"Ug1!t@"</f>
        <v>#VALUE!</v>
      </c>
      <c r="AC28" t="e">
        <f ca="1">Temp!134:134-"Ug1!tA"</f>
        <v>#VALUE!</v>
      </c>
      <c r="AD28" t="e">
        <f ca="1">Temp!135:135-"Ug1!tB"</f>
        <v>#VALUE!</v>
      </c>
      <c r="AE28" t="e">
        <f ca="1">Temp!136:136-"Ug1!tC"</f>
        <v>#VALUE!</v>
      </c>
      <c r="AF28" t="e">
        <f ca="1">Temp!137:137-"Ug1!tD"</f>
        <v>#VALUE!</v>
      </c>
      <c r="AG28" t="e">
        <f ca="1">Temp!138:138-"Ug1!tE"</f>
        <v>#VALUE!</v>
      </c>
      <c r="AH28" t="e">
        <f ca="1">Temp!139:139-"Ug1!tF"</f>
        <v>#VALUE!</v>
      </c>
      <c r="AI28" t="e">
        <f ca="1">Temp!140:140-"Ug1!tG"</f>
        <v>#VALUE!</v>
      </c>
      <c r="AJ28" t="e">
        <f ca="1">Temp!141:141-"Ug1!tH"</f>
        <v>#VALUE!</v>
      </c>
      <c r="AK28" t="e">
        <f ca="1">Temp!142:142-"Ug1!tI"</f>
        <v>#VALUE!</v>
      </c>
      <c r="AL28" t="e">
        <f ca="1">Temp!143:143-"Ug1!tJ"</f>
        <v>#VALUE!</v>
      </c>
      <c r="AM28" t="e">
        <f ca="1">Temp!144:144-"Ug1!tK"</f>
        <v>#VALUE!</v>
      </c>
      <c r="AN28" t="e">
        <f ca="1">Temp!145:145-"Ug1!tL"</f>
        <v>#VALUE!</v>
      </c>
      <c r="AO28" t="e">
        <f ca="1">Temp!146:146-"Ug1!tM"</f>
        <v>#VALUE!</v>
      </c>
      <c r="AP28" t="e">
        <f ca="1">Temp!147:147-"Ug1!tN"</f>
        <v>#VALUE!</v>
      </c>
      <c r="AQ28" t="e">
        <f ca="1">Temp!148:148-"Ug1!tO"</f>
        <v>#VALUE!</v>
      </c>
      <c r="AR28" t="e">
        <f ca="1">Temp!149:149-"Ug1!tP"</f>
        <v>#VALUE!</v>
      </c>
      <c r="AS28" t="e">
        <f ca="1">Temp!150:150-"Ug1!tQ"</f>
        <v>#VALUE!</v>
      </c>
      <c r="AT28" t="e">
        <f ca="1">Temp!151:151-"Ug1!tR"</f>
        <v>#VALUE!</v>
      </c>
      <c r="AU28" t="e">
        <f ca="1">Temp!152:152-"Ug1!tS"</f>
        <v>#VALUE!</v>
      </c>
      <c r="AV28" t="e">
        <f ca="1">Temp!153:153-"Ug1!tT"</f>
        <v>#VALUE!</v>
      </c>
      <c r="AW28" t="e">
        <f ca="1">Temp!154:154-"Ug1!tU"</f>
        <v>#VALUE!</v>
      </c>
      <c r="AX28" t="e">
        <f ca="1">Temp!155:155-"Ug1!tV"</f>
        <v>#VALUE!</v>
      </c>
      <c r="AY28" t="e">
        <f ca="1">Temp!156:156-"Ug1!tW"</f>
        <v>#VALUE!</v>
      </c>
      <c r="AZ28" t="e">
        <f ca="1">Temp!157:157-"Ug1!tX"</f>
        <v>#VALUE!</v>
      </c>
      <c r="BA28" t="e">
        <f ca="1">Temp!158:158-"Ug1!tY"</f>
        <v>#VALUE!</v>
      </c>
      <c r="BB28" t="e">
        <f ca="1">Temp!159:159-"Ug1!tZ"</f>
        <v>#VALUE!</v>
      </c>
      <c r="BC28" t="e">
        <f ca="1">Temp!160:160-"Ug1!t["</f>
        <v>#VALUE!</v>
      </c>
      <c r="BD28" t="e">
        <f ca="1">Temp!161:161-"Ug1!t\"</f>
        <v>#VALUE!</v>
      </c>
      <c r="BE28" t="e">
        <f ca="1">Temp!162:162-"Ug1!t]"</f>
        <v>#VALUE!</v>
      </c>
      <c r="BF28" t="e">
        <f ca="1">Temp!163:163-"Ug1!t^"</f>
        <v>#VALUE!</v>
      </c>
      <c r="BG28" t="e">
        <f ca="1">Temp!164:164-"Ug1!t_"</f>
        <v>#VALUE!</v>
      </c>
      <c r="BH28" t="e">
        <f ca="1">Temp!165:165-"Ug1!t`"</f>
        <v>#VALUE!</v>
      </c>
      <c r="BI28" t="e">
        <f ca="1">Temp!166:166-"Ug1!ta"</f>
        <v>#VALUE!</v>
      </c>
      <c r="BJ28" t="e">
        <f ca="1">Temp!167:167-"Ug1!tb"</f>
        <v>#VALUE!</v>
      </c>
      <c r="BK28" t="e">
        <f ca="1">Temp!168:168-"Ug1!tc"</f>
        <v>#VALUE!</v>
      </c>
      <c r="BL28" t="e">
        <f ca="1">Temp!169:169-"Ug1!td"</f>
        <v>#VALUE!</v>
      </c>
      <c r="BM28" t="e">
        <f ca="1">Temp!170:170-"Ug1!te"</f>
        <v>#VALUE!</v>
      </c>
      <c r="BN28" t="e">
        <f ca="1">Temp!171:171-"Ug1!tf"</f>
        <v>#VALUE!</v>
      </c>
      <c r="BO28" t="e">
        <f ca="1">Temp!172:172-"Ug1!tg"</f>
        <v>#VALUE!</v>
      </c>
      <c r="BP28" t="e">
        <f ca="1">Temp!173:173-"Ug1!th"</f>
        <v>#VALUE!</v>
      </c>
      <c r="BQ28" t="e">
        <f ca="1">Temp!174:174-"Ug1!ti"</f>
        <v>#VALUE!</v>
      </c>
      <c r="BR28" t="e">
        <f ca="1">Temp!175:175-"Ug1!tj"</f>
        <v>#VALUE!</v>
      </c>
      <c r="BS28" t="e">
        <f ca="1">Temp!176:176-"Ug1!tk"</f>
        <v>#VALUE!</v>
      </c>
      <c r="BT28" t="e">
        <f ca="1">Temp!177:177-"Ug1!tl"</f>
        <v>#VALUE!</v>
      </c>
      <c r="BU28" t="e">
        <f ca="1">Temp!178:178-"Ug1!tm"</f>
        <v>#VALUE!</v>
      </c>
      <c r="BV28" t="e">
        <f ca="1">Temp!179:179-"Ug1!tn"</f>
        <v>#VALUE!</v>
      </c>
      <c r="BW28" t="e">
        <f ca="1">Temp!180:180-"Ug1!to"</f>
        <v>#VALUE!</v>
      </c>
      <c r="BX28" t="e">
        <f ca="1">Temp!181:181-"Ug1!tp"</f>
        <v>#VALUE!</v>
      </c>
      <c r="BY28" t="e">
        <f ca="1">Temp!182:182-"Ug1!tq"</f>
        <v>#VALUE!</v>
      </c>
      <c r="BZ28" t="e">
        <f ca="1">Temp!183:183-"Ug1!tr"</f>
        <v>#VALUE!</v>
      </c>
      <c r="CA28" t="e">
        <f ca="1">Temp!184:184-"Ug1!ts"</f>
        <v>#VALUE!</v>
      </c>
      <c r="CB28" t="e">
        <f ca="1">Temp!185:185-"Ug1!tt"</f>
        <v>#VALUE!</v>
      </c>
      <c r="CC28" t="e">
        <f ca="1">Temp!186:186-"Ug1!tu"</f>
        <v>#VALUE!</v>
      </c>
      <c r="CD28" t="e">
        <f ca="1">Temp!187:187-"Ug1!tv"</f>
        <v>#VALUE!</v>
      </c>
      <c r="CE28" t="e">
        <f ca="1">Temp!188:188-"Ug1!tw"</f>
        <v>#VALUE!</v>
      </c>
      <c r="CF28" t="e">
        <f ca="1">Temp!189:189-"Ug1!tx"</f>
        <v>#VALUE!</v>
      </c>
      <c r="CG28" t="e">
        <f ca="1">Temp!190:190-"Ug1!ty"</f>
        <v>#VALUE!</v>
      </c>
      <c r="CH28" t="e">
        <f ca="1">Temp!191:191-"Ug1!tz"</f>
        <v>#VALUE!</v>
      </c>
      <c r="CI28" t="e">
        <f ca="1">Temp!192:192-"Ug1!t{"</f>
        <v>#VALUE!</v>
      </c>
      <c r="CJ28" t="e">
        <f ca="1">Temp!193:193-"Ug1!t|"</f>
        <v>#VALUE!</v>
      </c>
      <c r="CK28" t="e">
        <f ca="1">Temp!194:194-"Ug1!t}"</f>
        <v>#VALUE!</v>
      </c>
      <c r="CL28" t="e">
        <f ca="1">Temp!195:195-"Ug1!t~"</f>
        <v>#VALUE!</v>
      </c>
      <c r="CM28" t="e">
        <f ca="1">Temp!196:196-"Ug1!u#"</f>
        <v>#VALUE!</v>
      </c>
      <c r="CN28" t="e">
        <f ca="1">Temp!197:197-"Ug1!u$"</f>
        <v>#VALUE!</v>
      </c>
      <c r="CO28" t="e">
        <f ca="1">Temp!198:198-"Ug1!u%"</f>
        <v>#VALUE!</v>
      </c>
      <c r="CP28" t="e">
        <f ca="1">Temp!199:199-"Ug1!u&amp;"</f>
        <v>#VALUE!</v>
      </c>
      <c r="CQ28" t="e">
        <f ca="1">Temp!200:200-"Ug1!u'"</f>
        <v>#VALUE!</v>
      </c>
      <c r="CR28" t="e">
        <f ca="1">Temp!201:201-"Ug1!u("</f>
        <v>#VALUE!</v>
      </c>
      <c r="CS28" t="e">
        <f ca="1">Temp!202:202-"Ug1!u)"</f>
        <v>#VALUE!</v>
      </c>
      <c r="CT28" t="e">
        <f ca="1">Temp!203:203-"Ug1!u."</f>
        <v>#VALUE!</v>
      </c>
      <c r="CU28" t="e">
        <f ca="1">Temp!204:204-"Ug1!u/"</f>
        <v>#VALUE!</v>
      </c>
      <c r="CV28" t="e">
        <f ca="1">Temp!205:205-"Ug1!u0"</f>
        <v>#VALUE!</v>
      </c>
      <c r="CW28" t="e">
        <f ca="1">Temp!206:206-"Ug1!u1"</f>
        <v>#VALUE!</v>
      </c>
      <c r="CX28" t="e">
        <f ca="1">Temp!207:207-"Ug1!u2"</f>
        <v>#VALUE!</v>
      </c>
      <c r="CY28" t="e">
        <f ca="1">Temp!208:208-"Ug1!u3"</f>
        <v>#VALUE!</v>
      </c>
      <c r="CZ28" t="e">
        <f ca="1">Temp!209:209-"Ug1!u4"</f>
        <v>#VALUE!</v>
      </c>
      <c r="DA28" t="e">
        <f ca="1">Temp!210:210-"Ug1!u5"</f>
        <v>#VALUE!</v>
      </c>
      <c r="DB28" t="e">
        <f ca="1">Temp!211:211-"Ug1!u6"</f>
        <v>#VALUE!</v>
      </c>
      <c r="DC28" t="e">
        <f ca="1">Temp!212:212-"Ug1!u7"</f>
        <v>#VALUE!</v>
      </c>
      <c r="DD28" t="e">
        <f ca="1">Temp!213:213-"Ug1!u8"</f>
        <v>#VALUE!</v>
      </c>
      <c r="DE28" t="e">
        <f ca="1">Temp!214:214-"Ug1!u9"</f>
        <v>#VALUE!</v>
      </c>
      <c r="DF28" t="e">
        <f ca="1">Temp!215:215-"Ug1!u:"</f>
        <v>#VALUE!</v>
      </c>
      <c r="DG28" t="e">
        <f ca="1">Temp!216:216-"Ug1!u;"</f>
        <v>#VALUE!</v>
      </c>
      <c r="DH28" t="e">
        <f ca="1">Temp!217:217-"Ug1!u&lt;"</f>
        <v>#VALUE!</v>
      </c>
      <c r="DI28" t="e">
        <f ca="1">Temp!218:218-"Ug1!u="</f>
        <v>#VALUE!</v>
      </c>
      <c r="DJ28" t="e">
        <f ca="1">Temp!219:219-"Ug1!u&gt;"</f>
        <v>#VALUE!</v>
      </c>
      <c r="DK28" t="e">
        <f ca="1">Temp!220:220-"Ug1!u?"</f>
        <v>#VALUE!</v>
      </c>
      <c r="DL28" t="e">
        <f ca="1">Temp!221:221-"Ug1!u@"</f>
        <v>#VALUE!</v>
      </c>
      <c r="DM28" t="e">
        <f ca="1">Temp!222:222-"Ug1!uA"</f>
        <v>#VALUE!</v>
      </c>
      <c r="DN28" t="e">
        <f ca="1">Temp!A1+"Ug1!uB"</f>
        <v>#VALUE!</v>
      </c>
      <c r="DO28" t="e">
        <f ca="1">Temp!B1+"Ug1!uC"</f>
        <v>#VALUE!</v>
      </c>
      <c r="DP28" t="e">
        <f ca="1">Temp!C1+"Ug1!uD"</f>
        <v>#VALUE!</v>
      </c>
      <c r="DQ28" t="e">
        <f ca="1">Temp!D1+"Ug1!uE"</f>
        <v>#VALUE!</v>
      </c>
      <c r="DR28" t="e">
        <f ca="1">Temp!E1+"Ug1!uF"</f>
        <v>#VALUE!</v>
      </c>
      <c r="DS28" t="e">
        <f ca="1">Temp!F1+"Ug1!uG"</f>
        <v>#VALUE!</v>
      </c>
      <c r="DT28" t="e">
        <f ca="1">Temp!G1+"Ug1!uH"</f>
        <v>#VALUE!</v>
      </c>
      <c r="DU28" t="e">
        <f ca="1">Temp!H1+"Ug1!uI"</f>
        <v>#VALUE!</v>
      </c>
      <c r="DV28" t="e">
        <f ca="1">Temp!I1+"Ug1!uJ"</f>
        <v>#VALUE!</v>
      </c>
      <c r="DW28" t="e">
        <f ca="1">Temp!J1+"Ug1!uK"</f>
        <v>#VALUE!</v>
      </c>
      <c r="DX28" t="e">
        <f ca="1">Temp!K1+"Ug1!uL"</f>
        <v>#VALUE!</v>
      </c>
      <c r="DY28" t="e">
        <f ca="1">Temp!L1+"Ug1!uM"</f>
        <v>#VALUE!</v>
      </c>
      <c r="DZ28" t="e">
        <f ca="1">Temp!M1+"Ug1!uN"</f>
        <v>#VALUE!</v>
      </c>
      <c r="EA28" t="e">
        <f ca="1">Temp!N1+"Ug1!uO"</f>
        <v>#VALUE!</v>
      </c>
      <c r="EB28" t="e">
        <f ca="1">Temp!O1+"Ug1!uP"</f>
        <v>#VALUE!</v>
      </c>
      <c r="EC28" t="e">
        <f ca="1">Temp!P1+"Ug1!uQ"</f>
        <v>#VALUE!</v>
      </c>
      <c r="ED28" t="e">
        <f ca="1">Temp!Q1+"Ug1!uR"</f>
        <v>#VALUE!</v>
      </c>
      <c r="EE28" t="e">
        <f ca="1">Temp!R1+"Ug1!uS"</f>
        <v>#VALUE!</v>
      </c>
      <c r="EF28" t="e">
        <f ca="1">Temp!S1+"Ug1!uT"</f>
        <v>#VALUE!</v>
      </c>
      <c r="EG28" t="e">
        <f ca="1">Temp!T1+"Ug1!uU"</f>
        <v>#VALUE!</v>
      </c>
      <c r="EH28" t="e">
        <f ca="1">Temp!U1+"Ug1!uV"</f>
        <v>#VALUE!</v>
      </c>
      <c r="EI28" t="e">
        <f ca="1">Temp!V1+"Ug1!uW"</f>
        <v>#VALUE!</v>
      </c>
      <c r="EJ28" t="e">
        <f ca="1">Temp!W1+"Ug1!uX"</f>
        <v>#VALUE!</v>
      </c>
      <c r="EK28" t="e">
        <f ca="1">Temp!X1+"Ug1!uY"</f>
        <v>#VALUE!</v>
      </c>
      <c r="EL28" t="e">
        <f ca="1">Temp!Y1+"Ug1!uZ"</f>
        <v>#VALUE!</v>
      </c>
      <c r="EM28" t="e">
        <f ca="1">Temp!Z1+"Ug1!u["</f>
        <v>#VALUE!</v>
      </c>
      <c r="EN28" t="e">
        <f ca="1">Temp!AA1+"Ug1!u\"</f>
        <v>#VALUE!</v>
      </c>
      <c r="EO28" t="e">
        <f ca="1">Temp!AB1+"Ug1!u]"</f>
        <v>#VALUE!</v>
      </c>
      <c r="EP28" t="e">
        <f ca="1">Temp!AC1+"Ug1!u^"</f>
        <v>#VALUE!</v>
      </c>
      <c r="EQ28" t="e">
        <f ca="1">Temp!AD1+"Ug1!u_"</f>
        <v>#VALUE!</v>
      </c>
      <c r="ER28" t="e">
        <f ca="1">Temp!AE1+"Ug1!u`"</f>
        <v>#VALUE!</v>
      </c>
      <c r="ES28" t="e">
        <f ca="1">Temp!AF1+"Ug1!ua"</f>
        <v>#VALUE!</v>
      </c>
      <c r="ET28" t="e">
        <f ca="1">Temp!AG1+"Ug1!ub"</f>
        <v>#VALUE!</v>
      </c>
      <c r="EU28" t="e">
        <f ca="1">Temp!AH1+"Ug1!uc"</f>
        <v>#VALUE!</v>
      </c>
      <c r="EV28" t="e">
        <f ca="1">Temp!AI1+"Ug1!ud"</f>
        <v>#VALUE!</v>
      </c>
      <c r="EW28" t="e">
        <f ca="1">Temp!AJ1+"Ug1!ue"</f>
        <v>#VALUE!</v>
      </c>
      <c r="EX28" t="e">
        <f ca="1">Temp!AK1+"Ug1!uf"</f>
        <v>#VALUE!</v>
      </c>
      <c r="EY28" t="e">
        <f ca="1">Temp!AL1+"Ug1!ug"</f>
        <v>#VALUE!</v>
      </c>
      <c r="EZ28" t="e">
        <f ca="1">Temp!AM1+"Ug1!uh"</f>
        <v>#VALUE!</v>
      </c>
      <c r="FA28" t="e">
        <f ca="1">Temp!AN1+"Ug1!ui"</f>
        <v>#VALUE!</v>
      </c>
      <c r="FB28" t="e">
        <f ca="1">Temp!AO1+"Ug1!uj"</f>
        <v>#VALUE!</v>
      </c>
      <c r="FC28" t="e">
        <f ca="1">Temp!AP1+"Ug1!uk"</f>
        <v>#VALUE!</v>
      </c>
      <c r="FD28" t="e">
        <f ca="1">Temp!AQ1+"Ug1!ul"</f>
        <v>#VALUE!</v>
      </c>
      <c r="FE28" t="e">
        <f ca="1">Temp!AR1+"Ug1!um"</f>
        <v>#VALUE!</v>
      </c>
      <c r="FF28" t="e">
        <f ca="1">Temp!AS1+"Ug1!un"</f>
        <v>#VALUE!</v>
      </c>
      <c r="FG28" t="e">
        <f ca="1">Temp!AT1+"Ug1!uo"</f>
        <v>#VALUE!</v>
      </c>
      <c r="FH28" t="e">
        <f ca="1">Temp!AU1+"Ug1!up"</f>
        <v>#VALUE!</v>
      </c>
      <c r="FI28" t="e">
        <f ca="1">Temp!AV1+"Ug1!uq"</f>
        <v>#VALUE!</v>
      </c>
      <c r="FJ28" t="e">
        <f ca="1">Temp!AW1+"Ug1!ur"</f>
        <v>#VALUE!</v>
      </c>
      <c r="FK28" t="e">
        <f ca="1">Temp!AX1+"Ug1!us"</f>
        <v>#VALUE!</v>
      </c>
      <c r="FL28" t="e">
        <f ca="1">Temp!AY1+"Ug1!ut"</f>
        <v>#VALUE!</v>
      </c>
      <c r="FM28" t="e">
        <f ca="1">Temp!AZ1+"Ug1!uu"</f>
        <v>#VALUE!</v>
      </c>
      <c r="FN28" t="e">
        <f ca="1">Temp!BA1+"Ug1!uv"</f>
        <v>#VALUE!</v>
      </c>
      <c r="FO28" t="e">
        <f ca="1">Temp!BB1+"Ug1!uw"</f>
        <v>#VALUE!</v>
      </c>
      <c r="FP28" t="e">
        <f ca="1">Temp!BC1+"Ug1!ux"</f>
        <v>#VALUE!</v>
      </c>
      <c r="FQ28" t="e">
        <f ca="1">Temp!BD1+"Ug1!uy"</f>
        <v>#VALUE!</v>
      </c>
      <c r="FR28" t="e">
        <f ca="1">Temp!BE1+"Ug1!uz"</f>
        <v>#VALUE!</v>
      </c>
      <c r="FS28" t="e">
        <f ca="1">Temp!BF1+"Ug1!u{"</f>
        <v>#VALUE!</v>
      </c>
      <c r="FT28" t="e">
        <f ca="1">Temp!BG1+"Ug1!u|"</f>
        <v>#VALUE!</v>
      </c>
      <c r="FU28" t="e">
        <f ca="1">Temp!BH1+"Ug1!u}"</f>
        <v>#VALUE!</v>
      </c>
      <c r="FV28" t="e">
        <f ca="1">Temp!BI1+"Ug1!u~"</f>
        <v>#VALUE!</v>
      </c>
      <c r="FW28" t="e">
        <f ca="1">Temp!BJ1+"Ug1!v#"</f>
        <v>#VALUE!</v>
      </c>
      <c r="FX28" t="e">
        <f ca="1">Temp!BK1+"Ug1!v$"</f>
        <v>#VALUE!</v>
      </c>
      <c r="FY28" t="e">
        <f ca="1">Temp!BL1+"Ug1!v%"</f>
        <v>#VALUE!</v>
      </c>
      <c r="FZ28" t="e">
        <f ca="1">Temp!BM1+"Ug1!v&amp;"</f>
        <v>#VALUE!</v>
      </c>
      <c r="GA28" t="e">
        <f ca="1">Temp!BN1+"Ug1!v'"</f>
        <v>#VALUE!</v>
      </c>
      <c r="GB28" t="e">
        <f ca="1">Temp!BO1+"Ug1!v("</f>
        <v>#VALUE!</v>
      </c>
      <c r="GC28" t="e">
        <f ca="1">Temp!BP1+"Ug1!v)"</f>
        <v>#VALUE!</v>
      </c>
      <c r="GD28" t="e">
        <f ca="1">Temp!BQ1+"Ug1!v."</f>
        <v>#VALUE!</v>
      </c>
      <c r="GE28" t="e">
        <f ca="1">Temp!BR1+"Ug1!v/"</f>
        <v>#VALUE!</v>
      </c>
      <c r="GF28" t="e">
        <f ca="1">Temp!BS1+"Ug1!v0"</f>
        <v>#VALUE!</v>
      </c>
      <c r="GG28" t="e">
        <f ca="1">Temp!BT1+"Ug1!v1"</f>
        <v>#VALUE!</v>
      </c>
      <c r="GH28" t="e">
        <f ca="1">Temp!BU1+"Ug1!v2"</f>
        <v>#VALUE!</v>
      </c>
      <c r="GI28" t="e">
        <f ca="1">Temp!BV1+"Ug1!v3"</f>
        <v>#VALUE!</v>
      </c>
      <c r="GJ28" t="e">
        <f ca="1">Temp!BW1+"Ug1!v4"</f>
        <v>#VALUE!</v>
      </c>
      <c r="GK28" t="e">
        <f ca="1">Temp!BX1+"Ug1!v5"</f>
        <v>#VALUE!</v>
      </c>
      <c r="GL28" t="e">
        <f ca="1">Temp!BY1+"Ug1!v6"</f>
        <v>#VALUE!</v>
      </c>
      <c r="GM28" t="e">
        <f ca="1">Temp!B2+"Ug1!v7"</f>
        <v>#VALUE!</v>
      </c>
      <c r="GN28" t="e">
        <f ca="1">Temp!C2+"Ug1!v8"</f>
        <v>#VALUE!</v>
      </c>
      <c r="GO28" t="e">
        <f ca="1">Temp!D2+"Ug1!v9"</f>
        <v>#VALUE!</v>
      </c>
      <c r="GP28" t="e">
        <f ca="1">Temp!E2+"Ug1!v:"</f>
        <v>#VALUE!</v>
      </c>
      <c r="GQ28" t="e">
        <f ca="1">Temp!F2+"Ug1!v;"</f>
        <v>#VALUE!</v>
      </c>
      <c r="GR28" t="e">
        <f ca="1">Temp!G2+"Ug1!v&lt;"</f>
        <v>#VALUE!</v>
      </c>
      <c r="GS28" t="e">
        <f ca="1">Temp!H2+"Ug1!v="</f>
        <v>#VALUE!</v>
      </c>
      <c r="GT28" t="e">
        <f ca="1">Temp!J2+"Ug1!v&gt;"</f>
        <v>#VALUE!</v>
      </c>
      <c r="GU28" t="e">
        <f ca="1">Temp!K2+"Ug1!v?"</f>
        <v>#VALUE!</v>
      </c>
      <c r="GV28" t="e">
        <f ca="1">Temp!L2+"Ug1!v@"</f>
        <v>#VALUE!</v>
      </c>
      <c r="GW28" t="e">
        <f ca="1">Temp!M2+"Ug1!vA"</f>
        <v>#VALUE!</v>
      </c>
      <c r="GX28" t="e">
        <f ca="1">Temp!N2+"Ug1!vB"</f>
        <v>#VALUE!</v>
      </c>
      <c r="GY28" t="e">
        <f ca="1">Temp!O2+"Ug1!vC"</f>
        <v>#VALUE!</v>
      </c>
      <c r="GZ28" t="e">
        <f ca="1">Temp!P2+"Ug1!vD"</f>
        <v>#VALUE!</v>
      </c>
      <c r="HA28" t="e">
        <f ca="1">Temp!Q2+"Ug1!vE"</f>
        <v>#VALUE!</v>
      </c>
      <c r="HB28" t="e">
        <f ca="1">Temp!R2+"Ug1!vF"</f>
        <v>#VALUE!</v>
      </c>
      <c r="HC28" t="e">
        <f ca="1">Temp!S2+"Ug1!vG"</f>
        <v>#VALUE!</v>
      </c>
      <c r="HD28" t="e">
        <f ca="1">Temp!T2+"Ug1!vH"</f>
        <v>#VALUE!</v>
      </c>
      <c r="HE28" t="e">
        <f ca="1">Temp!U2+"Ug1!vI"</f>
        <v>#VALUE!</v>
      </c>
      <c r="HF28" t="e">
        <f ca="1">Temp!V2+"Ug1!vJ"</f>
        <v>#VALUE!</v>
      </c>
      <c r="HG28" t="e">
        <f ca="1">Temp!W2+"Ug1!vK"</f>
        <v>#VALUE!</v>
      </c>
      <c r="HH28" t="e">
        <f ca="1">Temp!X2+"Ug1!vL"</f>
        <v>#VALUE!</v>
      </c>
      <c r="HI28" t="e">
        <f ca="1">Temp!Y2+"Ug1!vM"</f>
        <v>#VALUE!</v>
      </c>
      <c r="HJ28" t="e">
        <f ca="1">Temp!Z2+"Ug1!vN"</f>
        <v>#VALUE!</v>
      </c>
      <c r="HK28" t="e">
        <f ca="1">Temp!AA2+"Ug1!vO"</f>
        <v>#VALUE!</v>
      </c>
      <c r="HL28" t="e">
        <f ca="1">Temp!AB2+"Ug1!vP"</f>
        <v>#VALUE!</v>
      </c>
      <c r="HM28" t="e">
        <f ca="1">Temp!AC2+"Ug1!vQ"</f>
        <v>#VALUE!</v>
      </c>
      <c r="HN28" t="e">
        <f ca="1">Temp!AD2+"Ug1!vR"</f>
        <v>#VALUE!</v>
      </c>
      <c r="HO28" t="e">
        <f ca="1">Temp!AE2+"Ug1!vS"</f>
        <v>#VALUE!</v>
      </c>
      <c r="HP28" t="e">
        <f ca="1">Temp!AF2+"Ug1!vT"</f>
        <v>#VALUE!</v>
      </c>
      <c r="HQ28" t="e">
        <f ca="1">Temp!AG2+"Ug1!vU"</f>
        <v>#VALUE!</v>
      </c>
      <c r="HR28" t="e">
        <f ca="1">Temp!AH2+"Ug1!vV"</f>
        <v>#VALUE!</v>
      </c>
      <c r="HS28" t="e">
        <f ca="1">Temp!AI2+"Ug1!vW"</f>
        <v>#VALUE!</v>
      </c>
      <c r="HT28" t="e">
        <f ca="1">Temp!AJ2+"Ug1!vX"</f>
        <v>#VALUE!</v>
      </c>
      <c r="HU28" t="e">
        <f ca="1">Temp!AK2+"Ug1!vY"</f>
        <v>#VALUE!</v>
      </c>
      <c r="HV28" t="e">
        <f ca="1">Temp!AL2+"Ug1!vZ"</f>
        <v>#VALUE!</v>
      </c>
      <c r="HW28" t="e">
        <f ca="1">Temp!AM2+"Ug1!v["</f>
        <v>#VALUE!</v>
      </c>
      <c r="HX28" t="e">
        <f ca="1">Temp!AN2+"Ug1!v\"</f>
        <v>#VALUE!</v>
      </c>
      <c r="HY28" t="e">
        <f ca="1">Temp!AO2+"Ug1!v]"</f>
        <v>#VALUE!</v>
      </c>
      <c r="HZ28" t="e">
        <f ca="1">Temp!AP2+"Ug1!v^"</f>
        <v>#VALUE!</v>
      </c>
      <c r="IA28" t="e">
        <f ca="1">Temp!AQ2+"Ug1!v_"</f>
        <v>#VALUE!</v>
      </c>
      <c r="IB28" t="e">
        <f ca="1">Temp!AR2+"Ug1!v`"</f>
        <v>#VALUE!</v>
      </c>
      <c r="IC28" t="e">
        <f ca="1">Temp!AS2+"Ug1!va"</f>
        <v>#VALUE!</v>
      </c>
      <c r="ID28" t="e">
        <f ca="1">Temp!AT2+"Ug1!vb"</f>
        <v>#VALUE!</v>
      </c>
      <c r="IE28" t="e">
        <f ca="1">Temp!AU2+"Ug1!vc"</f>
        <v>#VALUE!</v>
      </c>
      <c r="IF28" t="e">
        <f ca="1">Temp!AV2+"Ug1!vd"</f>
        <v>#VALUE!</v>
      </c>
      <c r="IG28" t="e">
        <f ca="1">Temp!AW2+"Ug1!ve"</f>
        <v>#VALUE!</v>
      </c>
      <c r="IH28" t="e">
        <f ca="1">Temp!AX2+"Ug1!vf"</f>
        <v>#VALUE!</v>
      </c>
      <c r="II28" t="e">
        <f ca="1">Temp!AY2+"Ug1!vg"</f>
        <v>#VALUE!</v>
      </c>
      <c r="IJ28" t="e">
        <f ca="1">Temp!AZ2+"Ug1!vh"</f>
        <v>#VALUE!</v>
      </c>
      <c r="IK28" t="e">
        <f ca="1">Temp!BA2+"Ug1!vi"</f>
        <v>#VALUE!</v>
      </c>
      <c r="IL28" t="e">
        <f ca="1">Temp!BB2+"Ug1!vj"</f>
        <v>#VALUE!</v>
      </c>
      <c r="IM28" t="e">
        <f ca="1">Temp!BC2+"Ug1!vk"</f>
        <v>#VALUE!</v>
      </c>
      <c r="IN28" t="e">
        <f ca="1">Temp!BD2+"Ug1!vl"</f>
        <v>#VALUE!</v>
      </c>
      <c r="IO28" t="e">
        <f ca="1">Temp!BE2+"Ug1!vm"</f>
        <v>#VALUE!</v>
      </c>
      <c r="IP28" t="e">
        <f ca="1">Temp!BF2+"Ug1!vn"</f>
        <v>#VALUE!</v>
      </c>
      <c r="IQ28" t="e">
        <f ca="1">Temp!BG2+"Ug1!vo"</f>
        <v>#VALUE!</v>
      </c>
      <c r="IR28" t="e">
        <f ca="1">Temp!BH2+"Ug1!vp"</f>
        <v>#VALUE!</v>
      </c>
      <c r="IS28" t="e">
        <f ca="1">Temp!BI2+"Ug1!vq"</f>
        <v>#VALUE!</v>
      </c>
      <c r="IT28" t="e">
        <f ca="1">Temp!BJ2+"Ug1!vr"</f>
        <v>#VALUE!</v>
      </c>
      <c r="IU28" t="e">
        <f ca="1">Temp!BK2+"Ug1!vs"</f>
        <v>#VALUE!</v>
      </c>
      <c r="IV28" t="e">
        <f ca="1">Temp!BL2+"Ug1!vt"</f>
        <v>#VALUE!</v>
      </c>
    </row>
    <row r="29" spans="6:256" x14ac:dyDescent="0.2">
      <c r="F29" t="e">
        <f ca="1">Temp!BM2+"Ug1!vu"</f>
        <v>#VALUE!</v>
      </c>
      <c r="G29" t="e">
        <f ca="1">Temp!BN2+"Ug1!vv"</f>
        <v>#VALUE!</v>
      </c>
      <c r="H29" t="e">
        <f ca="1">Temp!BO2+"Ug1!vw"</f>
        <v>#VALUE!</v>
      </c>
      <c r="I29" t="e">
        <f ca="1">Temp!BP2+"Ug1!vx"</f>
        <v>#VALUE!</v>
      </c>
      <c r="J29" t="e">
        <f ca="1">Temp!BQ2+"Ug1!vy"</f>
        <v>#VALUE!</v>
      </c>
      <c r="K29" t="e">
        <f ca="1">Temp!BR2+"Ug1!vz"</f>
        <v>#VALUE!</v>
      </c>
      <c r="L29" t="e">
        <f ca="1">Temp!BS2+"Ug1!v{"</f>
        <v>#VALUE!</v>
      </c>
      <c r="M29" t="e">
        <f ca="1">Temp!BT2+"Ug1!v|"</f>
        <v>#VALUE!</v>
      </c>
      <c r="N29" t="e">
        <f ca="1">Temp!BU2+"Ug1!v}"</f>
        <v>#VALUE!</v>
      </c>
      <c r="O29" t="e">
        <f ca="1">Temp!BV2+"Ug1!v~"</f>
        <v>#VALUE!</v>
      </c>
      <c r="P29" t="e">
        <f ca="1">Temp!BW2+"Ug1!w#"</f>
        <v>#VALUE!</v>
      </c>
      <c r="Q29" t="e">
        <f ca="1">Temp!BX2+"Ug1!w$"</f>
        <v>#VALUE!</v>
      </c>
      <c r="R29" t="e">
        <f ca="1">Temp!BY2+"Ug1!w%"</f>
        <v>#VALUE!</v>
      </c>
      <c r="S29" t="e">
        <f ca="1">Temp!A3+"Ug1!w&amp;"</f>
        <v>#VALUE!</v>
      </c>
      <c r="T29" t="e">
        <f ca="1">Temp!B3+"Ug1!w'"</f>
        <v>#VALUE!</v>
      </c>
      <c r="U29" t="e">
        <f ca="1">Temp!C3+"Ug1!w("</f>
        <v>#VALUE!</v>
      </c>
      <c r="V29" t="e">
        <f ca="1">Temp!D3+"Ug1!w)"</f>
        <v>#VALUE!</v>
      </c>
      <c r="W29" t="e">
        <f ca="1">Temp!E3+"Ug1!w."</f>
        <v>#VALUE!</v>
      </c>
      <c r="X29" t="e">
        <f ca="1">Temp!F3+"Ug1!w/"</f>
        <v>#VALUE!</v>
      </c>
      <c r="Y29" t="e">
        <f ca="1">Temp!G3+"Ug1!w0"</f>
        <v>#VALUE!</v>
      </c>
      <c r="Z29" t="e">
        <f ca="1">Temp!H3+"Ug1!w1"</f>
        <v>#VALUE!</v>
      </c>
      <c r="AA29" t="e">
        <f ca="1">Temp!J3+"Ug1!w2"</f>
        <v>#VALUE!</v>
      </c>
      <c r="AB29" t="e">
        <f ca="1">Temp!K3+"Ug1!w3"</f>
        <v>#VALUE!</v>
      </c>
      <c r="AC29" t="e">
        <f ca="1">Temp!L3+"Ug1!w4"</f>
        <v>#VALUE!</v>
      </c>
      <c r="AD29" t="e">
        <f ca="1">Temp!M3+"Ug1!w5"</f>
        <v>#VALUE!</v>
      </c>
      <c r="AE29" t="e">
        <f ca="1">Temp!N3+"Ug1!w6"</f>
        <v>#VALUE!</v>
      </c>
      <c r="AF29" t="e">
        <f ca="1">Temp!O3+"Ug1!w7"</f>
        <v>#VALUE!</v>
      </c>
      <c r="AG29" t="e">
        <f ca="1">Temp!P3+"Ug1!w8"</f>
        <v>#VALUE!</v>
      </c>
      <c r="AH29" t="e">
        <f ca="1">Temp!Q3+"Ug1!w9"</f>
        <v>#VALUE!</v>
      </c>
      <c r="AI29" t="e">
        <f ca="1">Temp!R3+"Ug1!w:"</f>
        <v>#VALUE!</v>
      </c>
      <c r="AJ29" t="e">
        <f ca="1">Temp!S3+"Ug1!w;"</f>
        <v>#VALUE!</v>
      </c>
      <c r="AK29" t="e">
        <f ca="1">Temp!T3+"Ug1!w&lt;"</f>
        <v>#VALUE!</v>
      </c>
      <c r="AL29" t="e">
        <f ca="1">Temp!U3+"Ug1!w="</f>
        <v>#VALUE!</v>
      </c>
      <c r="AM29" t="e">
        <f ca="1">Temp!V3+"Ug1!w&gt;"</f>
        <v>#VALUE!</v>
      </c>
      <c r="AN29" t="e">
        <f ca="1">Temp!W3+"Ug1!w?"</f>
        <v>#VALUE!</v>
      </c>
      <c r="AO29" t="e">
        <f ca="1">Temp!X3+"Ug1!w@"</f>
        <v>#VALUE!</v>
      </c>
      <c r="AP29" t="e">
        <f ca="1">Temp!Y3+"Ug1!wA"</f>
        <v>#VALUE!</v>
      </c>
      <c r="AQ29" t="e">
        <f ca="1">Temp!Z3+"Ug1!wB"</f>
        <v>#VALUE!</v>
      </c>
      <c r="AR29" t="e">
        <f ca="1">Temp!AA3+"Ug1!wC"</f>
        <v>#VALUE!</v>
      </c>
      <c r="AS29" t="e">
        <f ca="1">Temp!AB3+"Ug1!wD"</f>
        <v>#VALUE!</v>
      </c>
      <c r="AT29" t="e">
        <f ca="1">Temp!AC3+"Ug1!wE"</f>
        <v>#VALUE!</v>
      </c>
      <c r="AU29" t="e">
        <f ca="1">Temp!AD3+"Ug1!wF"</f>
        <v>#VALUE!</v>
      </c>
      <c r="AV29" t="e">
        <f ca="1">Temp!AE3+"Ug1!wG"</f>
        <v>#VALUE!</v>
      </c>
      <c r="AW29" t="e">
        <f ca="1">Temp!AF3+"Ug1!wH"</f>
        <v>#VALUE!</v>
      </c>
      <c r="AX29" t="e">
        <f ca="1">Temp!AG3+"Ug1!wI"</f>
        <v>#VALUE!</v>
      </c>
      <c r="AY29" t="e">
        <f ca="1">Temp!AH3+"Ug1!wJ"</f>
        <v>#VALUE!</v>
      </c>
      <c r="AZ29" t="e">
        <f ca="1">Temp!AI3+"Ug1!wK"</f>
        <v>#VALUE!</v>
      </c>
      <c r="BA29" t="e">
        <f ca="1">Temp!AJ3+"Ug1!wL"</f>
        <v>#VALUE!</v>
      </c>
      <c r="BB29" t="e">
        <f ca="1">Temp!AK3+"Ug1!wM"</f>
        <v>#VALUE!</v>
      </c>
      <c r="BC29" t="e">
        <f ca="1">Temp!AL3+"Ug1!wN"</f>
        <v>#VALUE!</v>
      </c>
      <c r="BD29" t="e">
        <f ca="1">Temp!AM3+"Ug1!wO"</f>
        <v>#VALUE!</v>
      </c>
      <c r="BE29" t="e">
        <f ca="1">Temp!AN3+"Ug1!wP"</f>
        <v>#VALUE!</v>
      </c>
      <c r="BF29" t="e">
        <f ca="1">Temp!AO3+"Ug1!wQ"</f>
        <v>#VALUE!</v>
      </c>
      <c r="BG29" t="e">
        <f ca="1">Temp!AP3+"Ug1!wR"</f>
        <v>#VALUE!</v>
      </c>
      <c r="BH29" t="e">
        <f ca="1">Temp!AQ3+"Ug1!wS"</f>
        <v>#VALUE!</v>
      </c>
      <c r="BI29" t="e">
        <f ca="1">Temp!AR3+"Ug1!wT"</f>
        <v>#VALUE!</v>
      </c>
      <c r="BJ29" t="e">
        <f ca="1">Temp!AS3+"Ug1!wU"</f>
        <v>#VALUE!</v>
      </c>
      <c r="BK29" t="e">
        <f ca="1">Temp!AT3+"Ug1!wV"</f>
        <v>#VALUE!</v>
      </c>
      <c r="BL29" t="e">
        <f ca="1">Temp!AU3+"Ug1!wW"</f>
        <v>#VALUE!</v>
      </c>
      <c r="BM29" t="e">
        <f ca="1">Temp!AV3+"Ug1!wX"</f>
        <v>#VALUE!</v>
      </c>
      <c r="BN29" t="e">
        <f ca="1">Temp!AW3+"Ug1!wY"</f>
        <v>#VALUE!</v>
      </c>
      <c r="BO29" t="e">
        <f ca="1">Temp!AX3+"Ug1!wZ"</f>
        <v>#VALUE!</v>
      </c>
      <c r="BP29" t="e">
        <f ca="1">Temp!AY3+"Ug1!w["</f>
        <v>#VALUE!</v>
      </c>
      <c r="BQ29" t="e">
        <f ca="1">Temp!AZ3+"Ug1!w\"</f>
        <v>#VALUE!</v>
      </c>
      <c r="BR29" t="e">
        <f ca="1">Temp!BA3+"Ug1!w]"</f>
        <v>#VALUE!</v>
      </c>
      <c r="BS29" t="e">
        <f ca="1">Temp!BB3+"Ug1!w^"</f>
        <v>#VALUE!</v>
      </c>
      <c r="BT29" t="e">
        <f ca="1">Temp!BC3+"Ug1!w_"</f>
        <v>#VALUE!</v>
      </c>
      <c r="BU29" t="e">
        <f ca="1">Temp!BD3+"Ug1!w`"</f>
        <v>#VALUE!</v>
      </c>
      <c r="BV29" t="e">
        <f ca="1">Temp!BE3+"Ug1!wa"</f>
        <v>#VALUE!</v>
      </c>
      <c r="BW29" t="e">
        <f ca="1">Temp!BF3+"Ug1!wb"</f>
        <v>#VALUE!</v>
      </c>
      <c r="BX29" t="e">
        <f ca="1">Temp!BG3+"Ug1!wc"</f>
        <v>#VALUE!</v>
      </c>
      <c r="BY29" t="e">
        <f ca="1">Temp!BH3+"Ug1!wd"</f>
        <v>#VALUE!</v>
      </c>
      <c r="BZ29" t="e">
        <f ca="1">Temp!BI3+"Ug1!we"</f>
        <v>#VALUE!</v>
      </c>
      <c r="CA29" t="e">
        <f ca="1">Temp!BJ3+"Ug1!wf"</f>
        <v>#VALUE!</v>
      </c>
      <c r="CB29" t="e">
        <f ca="1">Temp!BK3+"Ug1!wg"</f>
        <v>#VALUE!</v>
      </c>
      <c r="CC29" t="e">
        <f ca="1">Temp!BL3+"Ug1!wh"</f>
        <v>#VALUE!</v>
      </c>
      <c r="CD29" t="e">
        <f ca="1">Temp!BM3+"Ug1!wi"</f>
        <v>#VALUE!</v>
      </c>
      <c r="CE29" t="e">
        <f ca="1">Temp!BN3+"Ug1!wj"</f>
        <v>#VALUE!</v>
      </c>
      <c r="CF29" t="e">
        <f ca="1">Temp!BO3+"Ug1!wk"</f>
        <v>#VALUE!</v>
      </c>
      <c r="CG29" t="e">
        <f ca="1">Temp!BP3+"Ug1!wl"</f>
        <v>#VALUE!</v>
      </c>
      <c r="CH29" t="e">
        <f ca="1">Temp!BQ3+"Ug1!wm"</f>
        <v>#VALUE!</v>
      </c>
      <c r="CI29" t="e">
        <f ca="1">Temp!BR3+"Ug1!wn"</f>
        <v>#VALUE!</v>
      </c>
      <c r="CJ29" t="e">
        <f ca="1">Temp!BS3+"Ug1!wo"</f>
        <v>#VALUE!</v>
      </c>
      <c r="CK29" t="e">
        <f ca="1">Temp!BT3+"Ug1!wp"</f>
        <v>#VALUE!</v>
      </c>
      <c r="CL29" t="e">
        <f ca="1">Temp!BU3+"Ug1!wq"</f>
        <v>#VALUE!</v>
      </c>
      <c r="CM29" t="e">
        <f ca="1">Temp!BV3+"Ug1!wr"</f>
        <v>#VALUE!</v>
      </c>
      <c r="CN29" t="e">
        <f ca="1">Temp!BW3+"Ug1!ws"</f>
        <v>#VALUE!</v>
      </c>
      <c r="CO29" t="e">
        <f ca="1">Temp!BX3+"Ug1!wt"</f>
        <v>#VALUE!</v>
      </c>
      <c r="CP29" t="e">
        <f ca="1">Temp!BY3+"Ug1!wu"</f>
        <v>#VALUE!</v>
      </c>
      <c r="CQ29" t="e">
        <f ca="1">Temp!A4+"Ug1!wv"</f>
        <v>#VALUE!</v>
      </c>
      <c r="CR29" t="e">
        <f ca="1">Temp!B4+"Ug1!ww"</f>
        <v>#VALUE!</v>
      </c>
      <c r="CS29" t="e">
        <f ca="1">Temp!C4+"Ug1!wx"</f>
        <v>#VALUE!</v>
      </c>
      <c r="CT29" t="e">
        <f ca="1">Temp!D4+"Ug1!wy"</f>
        <v>#VALUE!</v>
      </c>
      <c r="CU29" t="e">
        <f ca="1">Temp!E4+"Ug1!wz"</f>
        <v>#VALUE!</v>
      </c>
      <c r="CV29" t="e">
        <f ca="1">Temp!F4+"Ug1!w{"</f>
        <v>#VALUE!</v>
      </c>
      <c r="CW29" t="e">
        <f ca="1">Temp!G4+"Ug1!w|"</f>
        <v>#VALUE!</v>
      </c>
      <c r="CX29" t="e">
        <f ca="1">Temp!J4+"Ug1!w}"</f>
        <v>#VALUE!</v>
      </c>
      <c r="CY29" t="e">
        <f ca="1">Temp!K4+"Ug1!w~"</f>
        <v>#VALUE!</v>
      </c>
      <c r="CZ29" t="e">
        <f ca="1">Temp!L4+"Ug1!x#"</f>
        <v>#VALUE!</v>
      </c>
      <c r="DA29" t="e">
        <f ca="1">Temp!M4+"Ug1!x$"</f>
        <v>#VALUE!</v>
      </c>
      <c r="DB29" t="e">
        <f ca="1">Temp!N4+"Ug1!x%"</f>
        <v>#VALUE!</v>
      </c>
      <c r="DC29" t="e">
        <f ca="1">Temp!O4+"Ug1!x&amp;"</f>
        <v>#VALUE!</v>
      </c>
      <c r="DD29" t="e">
        <f ca="1">Temp!P4+"Ug1!x'"</f>
        <v>#VALUE!</v>
      </c>
      <c r="DE29" t="e">
        <f ca="1">Temp!Q4+"Ug1!x("</f>
        <v>#VALUE!</v>
      </c>
      <c r="DF29" t="e">
        <f ca="1">Temp!R4+"Ug1!x)"</f>
        <v>#VALUE!</v>
      </c>
      <c r="DG29" t="e">
        <f ca="1">Temp!S4+"Ug1!x."</f>
        <v>#VALUE!</v>
      </c>
      <c r="DH29" t="e">
        <f ca="1">Temp!T4+"Ug1!x/"</f>
        <v>#VALUE!</v>
      </c>
      <c r="DI29" t="e">
        <f ca="1">Temp!U4+"Ug1!x0"</f>
        <v>#VALUE!</v>
      </c>
      <c r="DJ29" t="e">
        <f ca="1">Temp!V4+"Ug1!x1"</f>
        <v>#VALUE!</v>
      </c>
      <c r="DK29" t="e">
        <f ca="1">Temp!W4+"Ug1!x2"</f>
        <v>#VALUE!</v>
      </c>
      <c r="DL29" t="e">
        <f ca="1">Temp!X4+"Ug1!x3"</f>
        <v>#VALUE!</v>
      </c>
      <c r="DM29" t="e">
        <f ca="1">Temp!Y4+"Ug1!x4"</f>
        <v>#VALUE!</v>
      </c>
      <c r="DN29" t="e">
        <f ca="1">Temp!Z4+"Ug1!x5"</f>
        <v>#VALUE!</v>
      </c>
      <c r="DO29" t="e">
        <f ca="1">Temp!AA4+"Ug1!x6"</f>
        <v>#VALUE!</v>
      </c>
      <c r="DP29" t="e">
        <f ca="1">Temp!AB4+"Ug1!x7"</f>
        <v>#VALUE!</v>
      </c>
      <c r="DQ29" t="e">
        <f ca="1">Temp!AC4+"Ug1!x8"</f>
        <v>#VALUE!</v>
      </c>
      <c r="DR29" t="e">
        <f ca="1">Temp!AD4+"Ug1!x9"</f>
        <v>#VALUE!</v>
      </c>
      <c r="DS29" t="e">
        <f ca="1">Temp!AE4+"Ug1!x:"</f>
        <v>#VALUE!</v>
      </c>
      <c r="DT29" t="e">
        <f ca="1">Temp!AF4+"Ug1!x;"</f>
        <v>#VALUE!</v>
      </c>
      <c r="DU29" t="e">
        <f ca="1">Temp!AG4+"Ug1!x&lt;"</f>
        <v>#VALUE!</v>
      </c>
      <c r="DV29" t="e">
        <f ca="1">Temp!AH4+"Ug1!x="</f>
        <v>#VALUE!</v>
      </c>
      <c r="DW29" t="e">
        <f ca="1">Temp!AI4+"Ug1!x&gt;"</f>
        <v>#VALUE!</v>
      </c>
      <c r="DX29" t="e">
        <f ca="1">Temp!AJ4+"Ug1!x?"</f>
        <v>#VALUE!</v>
      </c>
      <c r="DY29" t="e">
        <f ca="1">Temp!AK4+"Ug1!x@"</f>
        <v>#VALUE!</v>
      </c>
      <c r="DZ29" t="e">
        <f ca="1">Temp!AL4+"Ug1!xA"</f>
        <v>#VALUE!</v>
      </c>
      <c r="EA29" t="e">
        <f ca="1">Temp!AM4+"Ug1!xB"</f>
        <v>#VALUE!</v>
      </c>
      <c r="EB29" t="e">
        <f ca="1">Temp!AN4+"Ug1!xC"</f>
        <v>#VALUE!</v>
      </c>
      <c r="EC29" t="e">
        <f ca="1">Temp!AO4+"Ug1!xD"</f>
        <v>#VALUE!</v>
      </c>
      <c r="ED29" t="e">
        <f ca="1">Temp!AP4+"Ug1!xE"</f>
        <v>#VALUE!</v>
      </c>
      <c r="EE29" t="e">
        <f ca="1">Temp!AQ4+"Ug1!xF"</f>
        <v>#VALUE!</v>
      </c>
      <c r="EF29" t="e">
        <f ca="1">Temp!AR4+"Ug1!xG"</f>
        <v>#VALUE!</v>
      </c>
      <c r="EG29" t="e">
        <f ca="1">Temp!AS4+"Ug1!xH"</f>
        <v>#VALUE!</v>
      </c>
      <c r="EH29" t="e">
        <f ca="1">Temp!AT4+"Ug1!xI"</f>
        <v>#VALUE!</v>
      </c>
      <c r="EI29" t="e">
        <f ca="1">Temp!AU4+"Ug1!xJ"</f>
        <v>#VALUE!</v>
      </c>
      <c r="EJ29" t="e">
        <f ca="1">Temp!AV4+"Ug1!xK"</f>
        <v>#VALUE!</v>
      </c>
      <c r="EK29" t="e">
        <f ca="1">Temp!AW4+"Ug1!xL"</f>
        <v>#VALUE!</v>
      </c>
      <c r="EL29" t="e">
        <f ca="1">Temp!AX4+"Ug1!xM"</f>
        <v>#VALUE!</v>
      </c>
      <c r="EM29" t="e">
        <f ca="1">Temp!AY4+"Ug1!xN"</f>
        <v>#VALUE!</v>
      </c>
      <c r="EN29" t="e">
        <f ca="1">Temp!AZ4+"Ug1!xO"</f>
        <v>#VALUE!</v>
      </c>
      <c r="EO29" t="e">
        <f ca="1">Temp!BA4+"Ug1!xP"</f>
        <v>#VALUE!</v>
      </c>
      <c r="EP29" t="e">
        <f ca="1">Temp!BB4+"Ug1!xQ"</f>
        <v>#VALUE!</v>
      </c>
      <c r="EQ29" t="e">
        <f ca="1">Temp!BC4+"Ug1!xR"</f>
        <v>#VALUE!</v>
      </c>
      <c r="ER29" t="e">
        <f ca="1">Temp!BD4+"Ug1!xS"</f>
        <v>#VALUE!</v>
      </c>
      <c r="ES29" t="e">
        <f ca="1">Temp!BE4+"Ug1!xT"</f>
        <v>#VALUE!</v>
      </c>
      <c r="ET29" t="e">
        <f ca="1">Temp!BF4+"Ug1!xU"</f>
        <v>#VALUE!</v>
      </c>
      <c r="EU29" t="e">
        <f ca="1">Temp!BG4+"Ug1!xV"</f>
        <v>#VALUE!</v>
      </c>
      <c r="EV29" t="e">
        <f ca="1">Temp!BH4+"Ug1!xW"</f>
        <v>#VALUE!</v>
      </c>
      <c r="EW29" t="e">
        <f ca="1">Temp!BI4+"Ug1!xX"</f>
        <v>#VALUE!</v>
      </c>
      <c r="EX29" t="e">
        <f ca="1">Temp!BJ4+"Ug1!xY"</f>
        <v>#VALUE!</v>
      </c>
      <c r="EY29" t="e">
        <f ca="1">Temp!BK4+"Ug1!xZ"</f>
        <v>#VALUE!</v>
      </c>
      <c r="EZ29" t="e">
        <f ca="1">Temp!BL4+"Ug1!x["</f>
        <v>#VALUE!</v>
      </c>
      <c r="FA29" t="e">
        <f ca="1">Temp!BM4+"Ug1!x\"</f>
        <v>#VALUE!</v>
      </c>
      <c r="FB29" t="e">
        <f ca="1">Temp!BN4+"Ug1!x]"</f>
        <v>#VALUE!</v>
      </c>
      <c r="FC29" t="e">
        <f ca="1">Temp!BO4+"Ug1!x^"</f>
        <v>#VALUE!</v>
      </c>
      <c r="FD29" t="e">
        <f ca="1">Temp!BP4+"Ug1!x_"</f>
        <v>#VALUE!</v>
      </c>
      <c r="FE29" t="e">
        <f ca="1">Temp!BQ4+"Ug1!x`"</f>
        <v>#VALUE!</v>
      </c>
      <c r="FF29" t="e">
        <f ca="1">Temp!BR4+"Ug1!xa"</f>
        <v>#VALUE!</v>
      </c>
      <c r="FG29" t="e">
        <f ca="1">Temp!BS4+"Ug1!xb"</f>
        <v>#VALUE!</v>
      </c>
      <c r="FH29" t="e">
        <f ca="1">Temp!BT4+"Ug1!xc"</f>
        <v>#VALUE!</v>
      </c>
      <c r="FI29" t="e">
        <f ca="1">Temp!BU4+"Ug1!xd"</f>
        <v>#VALUE!</v>
      </c>
      <c r="FJ29" t="e">
        <f ca="1">Temp!BV4+"Ug1!xe"</f>
        <v>#VALUE!</v>
      </c>
      <c r="FK29" t="e">
        <f ca="1">Temp!BW4+"Ug1!xf"</f>
        <v>#VALUE!</v>
      </c>
      <c r="FL29" t="e">
        <f ca="1">Temp!BX4+"Ug1!xg"</f>
        <v>#VALUE!</v>
      </c>
      <c r="FM29" t="e">
        <f ca="1">Temp!BY4+"Ug1!xh"</f>
        <v>#VALUE!</v>
      </c>
      <c r="FN29" t="e">
        <f ca="1">Temp!A5+"Ug1!xi"</f>
        <v>#VALUE!</v>
      </c>
      <c r="FO29" t="e">
        <f ca="1">Temp!B5+"Ug1!xj"</f>
        <v>#VALUE!</v>
      </c>
      <c r="FP29" t="e">
        <f ca="1">Temp!C5+"Ug1!xk"</f>
        <v>#VALUE!</v>
      </c>
      <c r="FQ29" t="e">
        <f ca="1">Temp!D5+"Ug1!xl"</f>
        <v>#VALUE!</v>
      </c>
      <c r="FR29" t="e">
        <f ca="1">Temp!E5+"Ug1!xm"</f>
        <v>#VALUE!</v>
      </c>
      <c r="FS29" t="e">
        <f ca="1">Temp!F5+"Ug1!xn"</f>
        <v>#VALUE!</v>
      </c>
      <c r="FT29" t="e">
        <f ca="1">Temp!G5+"Ug1!xo"</f>
        <v>#VALUE!</v>
      </c>
      <c r="FU29" t="e">
        <f ca="1">Temp!H5+"Ug1!xp"</f>
        <v>#VALUE!</v>
      </c>
      <c r="FV29" t="e">
        <f ca="1">Temp!J5+"Ug1!xq"</f>
        <v>#VALUE!</v>
      </c>
      <c r="FW29" t="e">
        <f ca="1">Temp!K5+"Ug1!xr"</f>
        <v>#VALUE!</v>
      </c>
      <c r="FX29" t="e">
        <f ca="1">Temp!L5+"Ug1!xs"</f>
        <v>#VALUE!</v>
      </c>
      <c r="FY29" t="e">
        <f ca="1">Temp!M5+"Ug1!xt"</f>
        <v>#VALUE!</v>
      </c>
      <c r="FZ29" t="e">
        <f ca="1">Temp!N5+"Ug1!xu"</f>
        <v>#VALUE!</v>
      </c>
      <c r="GA29" t="e">
        <f ca="1">Temp!O5+"Ug1!xv"</f>
        <v>#VALUE!</v>
      </c>
      <c r="GB29" t="e">
        <f ca="1">Temp!P5+"Ug1!xw"</f>
        <v>#VALUE!</v>
      </c>
      <c r="GC29" t="e">
        <f ca="1">Temp!Q5+"Ug1!xx"</f>
        <v>#VALUE!</v>
      </c>
      <c r="GD29" t="e">
        <f ca="1">Temp!R5+"Ug1!xy"</f>
        <v>#VALUE!</v>
      </c>
      <c r="GE29" t="e">
        <f ca="1">Temp!S5+"Ug1!xz"</f>
        <v>#VALUE!</v>
      </c>
      <c r="GF29" t="e">
        <f ca="1">Temp!T5+"Ug1!x{"</f>
        <v>#VALUE!</v>
      </c>
      <c r="GG29" t="e">
        <f ca="1">Temp!U5+"Ug1!x|"</f>
        <v>#VALUE!</v>
      </c>
      <c r="GH29" t="e">
        <f ca="1">Temp!V5+"Ug1!x}"</f>
        <v>#VALUE!</v>
      </c>
      <c r="GI29" t="e">
        <f ca="1">Temp!W5+"Ug1!x~"</f>
        <v>#VALUE!</v>
      </c>
      <c r="GJ29" t="e">
        <f ca="1">Temp!X5+"Ug1!y#"</f>
        <v>#VALUE!</v>
      </c>
      <c r="GK29" t="e">
        <f ca="1">Temp!Y5+"Ug1!y$"</f>
        <v>#VALUE!</v>
      </c>
      <c r="GL29" t="e">
        <f ca="1">Temp!Z5+"Ug1!y%"</f>
        <v>#VALUE!</v>
      </c>
      <c r="GM29" t="e">
        <f ca="1">Temp!AA5+"Ug1!y&amp;"</f>
        <v>#VALUE!</v>
      </c>
      <c r="GN29" t="e">
        <f ca="1">Temp!AB5+"Ug1!y'"</f>
        <v>#VALUE!</v>
      </c>
      <c r="GO29" t="e">
        <f ca="1">Temp!AC5+"Ug1!y("</f>
        <v>#VALUE!</v>
      </c>
      <c r="GP29" t="e">
        <f ca="1">Temp!AD5+"Ug1!y)"</f>
        <v>#VALUE!</v>
      </c>
      <c r="GQ29" t="e">
        <f ca="1">Temp!AE5+"Ug1!y."</f>
        <v>#VALUE!</v>
      </c>
      <c r="GR29" t="e">
        <f ca="1">Temp!AF5+"Ug1!y/"</f>
        <v>#VALUE!</v>
      </c>
      <c r="GS29" t="e">
        <f ca="1">Temp!AG5+"Ug1!y0"</f>
        <v>#VALUE!</v>
      </c>
      <c r="GT29" t="e">
        <f ca="1">Temp!AH5+"Ug1!y1"</f>
        <v>#VALUE!</v>
      </c>
      <c r="GU29" t="e">
        <f ca="1">Temp!AI5+"Ug1!y2"</f>
        <v>#VALUE!</v>
      </c>
      <c r="GV29" t="e">
        <f ca="1">Temp!AJ5+"Ug1!y3"</f>
        <v>#VALUE!</v>
      </c>
      <c r="GW29" t="e">
        <f ca="1">Temp!AK5+"Ug1!y4"</f>
        <v>#VALUE!</v>
      </c>
      <c r="GX29" t="e">
        <f ca="1">Temp!AL5+"Ug1!y5"</f>
        <v>#VALUE!</v>
      </c>
      <c r="GY29" t="e">
        <f ca="1">Temp!AM5+"Ug1!y6"</f>
        <v>#VALUE!</v>
      </c>
      <c r="GZ29" t="e">
        <f ca="1">Temp!AN5+"Ug1!y7"</f>
        <v>#VALUE!</v>
      </c>
      <c r="HA29" t="e">
        <f ca="1">Temp!AO5+"Ug1!y8"</f>
        <v>#VALUE!</v>
      </c>
      <c r="HB29" t="e">
        <f ca="1">Temp!AP5+"Ug1!y9"</f>
        <v>#VALUE!</v>
      </c>
      <c r="HC29" t="e">
        <f ca="1">Temp!AQ5+"Ug1!y:"</f>
        <v>#VALUE!</v>
      </c>
      <c r="HD29" t="e">
        <f ca="1">Temp!AR5+"Ug1!y;"</f>
        <v>#VALUE!</v>
      </c>
      <c r="HE29" t="e">
        <f ca="1">Temp!AS5+"Ug1!y&lt;"</f>
        <v>#VALUE!</v>
      </c>
      <c r="HF29" t="e">
        <f ca="1">Temp!AT5+"Ug1!y="</f>
        <v>#VALUE!</v>
      </c>
      <c r="HG29" t="e">
        <f ca="1">Temp!AU5+"Ug1!y&gt;"</f>
        <v>#VALUE!</v>
      </c>
      <c r="HH29" t="e">
        <f ca="1">Temp!AV5+"Ug1!y?"</f>
        <v>#VALUE!</v>
      </c>
      <c r="HI29" t="e">
        <f ca="1">Temp!AW5+"Ug1!y@"</f>
        <v>#VALUE!</v>
      </c>
      <c r="HJ29" t="e">
        <f ca="1">Temp!AX5+"Ug1!yA"</f>
        <v>#VALUE!</v>
      </c>
      <c r="HK29" t="e">
        <f ca="1">Temp!AY5+"Ug1!yB"</f>
        <v>#VALUE!</v>
      </c>
      <c r="HL29" t="e">
        <f ca="1">Temp!AZ5+"Ug1!yC"</f>
        <v>#VALUE!</v>
      </c>
      <c r="HM29" t="e">
        <f ca="1">Temp!BA5+"Ug1!yD"</f>
        <v>#VALUE!</v>
      </c>
      <c r="HN29" t="e">
        <f ca="1">Temp!BB5+"Ug1!yE"</f>
        <v>#VALUE!</v>
      </c>
      <c r="HO29" t="e">
        <f ca="1">Temp!BC5+"Ug1!yF"</f>
        <v>#VALUE!</v>
      </c>
      <c r="HP29" t="e">
        <f ca="1">Temp!BD5+"Ug1!yG"</f>
        <v>#VALUE!</v>
      </c>
      <c r="HQ29" t="e">
        <f ca="1">Temp!BE5+"Ug1!yH"</f>
        <v>#VALUE!</v>
      </c>
      <c r="HR29" t="e">
        <f ca="1">Temp!BF5+"Ug1!yI"</f>
        <v>#VALUE!</v>
      </c>
      <c r="HS29" t="e">
        <f ca="1">Temp!BG5+"Ug1!yJ"</f>
        <v>#VALUE!</v>
      </c>
      <c r="HT29" t="e">
        <f ca="1">Temp!BH5+"Ug1!yK"</f>
        <v>#VALUE!</v>
      </c>
      <c r="HU29" t="e">
        <f ca="1">Temp!BI5+"Ug1!yL"</f>
        <v>#VALUE!</v>
      </c>
      <c r="HV29" t="e">
        <f ca="1">Temp!BJ5+"Ug1!yM"</f>
        <v>#VALUE!</v>
      </c>
      <c r="HW29" t="e">
        <f ca="1">Temp!BK5+"Ug1!yN"</f>
        <v>#VALUE!</v>
      </c>
      <c r="HX29" t="e">
        <f ca="1">Temp!BL5+"Ug1!yO"</f>
        <v>#VALUE!</v>
      </c>
      <c r="HY29" t="e">
        <f ca="1">Temp!BM5+"Ug1!yP"</f>
        <v>#VALUE!</v>
      </c>
      <c r="HZ29" t="e">
        <f ca="1">Temp!BN5+"Ug1!yQ"</f>
        <v>#VALUE!</v>
      </c>
      <c r="IA29" t="e">
        <f ca="1">Temp!BO5+"Ug1!yR"</f>
        <v>#VALUE!</v>
      </c>
      <c r="IB29" t="e">
        <f ca="1">Temp!BP5+"Ug1!yS"</f>
        <v>#VALUE!</v>
      </c>
      <c r="IC29" t="e">
        <f ca="1">Temp!BQ5+"Ug1!yT"</f>
        <v>#VALUE!</v>
      </c>
      <c r="ID29" t="e">
        <f ca="1">Temp!BR5+"Ug1!yU"</f>
        <v>#VALUE!</v>
      </c>
      <c r="IE29" t="e">
        <f ca="1">Temp!BS5+"Ug1!yV"</f>
        <v>#VALUE!</v>
      </c>
      <c r="IF29" t="e">
        <f ca="1">Temp!BT5+"Ug1!yW"</f>
        <v>#VALUE!</v>
      </c>
      <c r="IG29" t="e">
        <f ca="1">Temp!BU5+"Ug1!yX"</f>
        <v>#VALUE!</v>
      </c>
      <c r="IH29" t="e">
        <f ca="1">Temp!BV5+"Ug1!yY"</f>
        <v>#VALUE!</v>
      </c>
      <c r="II29" t="e">
        <f ca="1">Temp!BW5+"Ug1!yZ"</f>
        <v>#VALUE!</v>
      </c>
      <c r="IJ29" t="e">
        <f ca="1">Temp!BX5+"Ug1!y["</f>
        <v>#VALUE!</v>
      </c>
      <c r="IK29" t="e">
        <f ca="1">Temp!BY5+"Ug1!y\"</f>
        <v>#VALUE!</v>
      </c>
      <c r="IL29" t="e">
        <f ca="1">Temp!A6+"Ug1!y]"</f>
        <v>#VALUE!</v>
      </c>
      <c r="IM29" t="e">
        <f ca="1">Temp!B6+"Ug1!y^"</f>
        <v>#VALUE!</v>
      </c>
      <c r="IN29" t="e">
        <f ca="1">Temp!C6+"Ug1!y_"</f>
        <v>#VALUE!</v>
      </c>
      <c r="IO29" t="e">
        <f ca="1">Temp!D6+"Ug1!y`"</f>
        <v>#VALUE!</v>
      </c>
      <c r="IP29" t="e">
        <f ca="1">Temp!F6+"Ug1!ya"</f>
        <v>#VALUE!</v>
      </c>
      <c r="IQ29" t="e">
        <f ca="1">Temp!G6+"Ug1!yb"</f>
        <v>#VALUE!</v>
      </c>
      <c r="IR29" t="e">
        <f ca="1">Temp!H6+"Ug1!yc"</f>
        <v>#VALUE!</v>
      </c>
      <c r="IS29" t="e">
        <f ca="1">Temp!A7+"Ug1!yd"</f>
        <v>#VALUE!</v>
      </c>
      <c r="IT29" t="e">
        <f ca="1">Temp!A9+"Ug1!ye"</f>
        <v>#VALUE!</v>
      </c>
      <c r="IU29" t="e">
        <f ca="1">Temp!B9+"Ug1!yf"</f>
        <v>#VALUE!</v>
      </c>
      <c r="IV29" t="e">
        <f ca="1">Temp!C9+"Ug1!yg"</f>
        <v>#VALUE!</v>
      </c>
    </row>
    <row r="30" spans="6:256" x14ac:dyDescent="0.2">
      <c r="F30" t="e">
        <f ca="1">Temp!D9+"Ug1!yh"</f>
        <v>#VALUE!</v>
      </c>
      <c r="G30" t="e">
        <f ca="1">Temp!E9+"Ug1!yi"</f>
        <v>#VALUE!</v>
      </c>
      <c r="H30" t="e">
        <f ca="1">Temp!F9+"Ug1!yj"</f>
        <v>#VALUE!</v>
      </c>
      <c r="I30" t="e">
        <f ca="1">Temp!G9+"Ug1!yk"</f>
        <v>#VALUE!</v>
      </c>
      <c r="J30" t="e">
        <f ca="1">Temp!A10+"Ug1!yl"</f>
        <v>#VALUE!</v>
      </c>
      <c r="K30" t="e">
        <f ca="1">Temp!B10+"Ug1!ym"</f>
        <v>#VALUE!</v>
      </c>
      <c r="L30" t="e">
        <f ca="1">Temp!C10+"Ug1!yn"</f>
        <v>#VALUE!</v>
      </c>
      <c r="M30" t="e">
        <f ca="1">Temp!D10+"Ug1!yo"</f>
        <v>#VALUE!</v>
      </c>
      <c r="N30" t="e">
        <f ca="1">Temp!E10+"Ug1!yp"</f>
        <v>#VALUE!</v>
      </c>
      <c r="O30" t="e">
        <f ca="1">Temp!F10+"Ug1!yq"</f>
        <v>#VALUE!</v>
      </c>
      <c r="P30" t="e">
        <f ca="1">Temp!G10+"Ug1!yr"</f>
        <v>#VALUE!</v>
      </c>
      <c r="Q30" t="e">
        <f ca="1">Temp!H10+"Ug1!ys"</f>
        <v>#VALUE!</v>
      </c>
      <c r="R30" t="e">
        <f ca="1">Temp!I10+"Ug1!yt"</f>
        <v>#VALUE!</v>
      </c>
      <c r="S30" t="e">
        <f ca="1">Temp!J10+"Ug1!yu"</f>
        <v>#VALUE!</v>
      </c>
      <c r="T30" t="e">
        <f ca="1">Temp!K10+"Ug1!yv"</f>
        <v>#VALUE!</v>
      </c>
      <c r="U30" t="e">
        <f ca="1">Temp!L10+"Ug1!yw"</f>
        <v>#VALUE!</v>
      </c>
      <c r="V30" t="e">
        <f ca="1">Temp!M10+"Ug1!yx"</f>
        <v>#VALUE!</v>
      </c>
      <c r="W30" t="e">
        <f ca="1">Temp!N10+"Ug1!yy"</f>
        <v>#VALUE!</v>
      </c>
      <c r="X30" t="e">
        <f ca="1">Temp!O10+"Ug1!yz"</f>
        <v>#VALUE!</v>
      </c>
      <c r="Y30" t="e">
        <f ca="1">Temp!P10+"Ug1!y{"</f>
        <v>#VALUE!</v>
      </c>
      <c r="Z30" t="e">
        <f ca="1">Temp!Q10+"Ug1!y|"</f>
        <v>#VALUE!</v>
      </c>
      <c r="AA30" t="e">
        <f ca="1">Temp!R10+"Ug1!y}"</f>
        <v>#VALUE!</v>
      </c>
      <c r="AB30" t="e">
        <f ca="1">Temp!S10+"Ug1!y~"</f>
        <v>#VALUE!</v>
      </c>
      <c r="AC30" t="e">
        <f ca="1">Temp!T10+"Ug1!z#"</f>
        <v>#VALUE!</v>
      </c>
      <c r="AD30" t="e">
        <f ca="1">Temp!U10+"Ug1!z$"</f>
        <v>#VALUE!</v>
      </c>
      <c r="AE30" t="e">
        <f ca="1">Temp!V10+"Ug1!z%"</f>
        <v>#VALUE!</v>
      </c>
      <c r="AF30" t="e">
        <f ca="1">Temp!W10+"Ug1!z&amp;"</f>
        <v>#VALUE!</v>
      </c>
      <c r="AG30" t="e">
        <f ca="1">Temp!X10+"Ug1!z'"</f>
        <v>#VALUE!</v>
      </c>
      <c r="AH30" t="e">
        <f ca="1">Temp!Y10+"Ug1!z("</f>
        <v>#VALUE!</v>
      </c>
      <c r="AI30" t="e">
        <f ca="1">Temp!Z10+"Ug1!z)"</f>
        <v>#VALUE!</v>
      </c>
      <c r="AJ30" t="e">
        <f ca="1">Temp!AA10+"Ug1!z."</f>
        <v>#VALUE!</v>
      </c>
      <c r="AK30" t="e">
        <f ca="1">Temp!AB10+"Ug1!z/"</f>
        <v>#VALUE!</v>
      </c>
      <c r="AL30" t="e">
        <f ca="1">Temp!AC10+"Ug1!z0"</f>
        <v>#VALUE!</v>
      </c>
      <c r="AM30" t="e">
        <f ca="1">Temp!AD10+"Ug1!z1"</f>
        <v>#VALUE!</v>
      </c>
      <c r="AN30" t="e">
        <f ca="1">Temp!AE10+"Ug1!z2"</f>
        <v>#VALUE!</v>
      </c>
      <c r="AO30" t="e">
        <f ca="1">Temp!AF10+"Ug1!z3"</f>
        <v>#VALUE!</v>
      </c>
      <c r="AP30" t="e">
        <f ca="1">Temp!AG10+"Ug1!z4"</f>
        <v>#VALUE!</v>
      </c>
      <c r="AQ30" t="e">
        <f ca="1">Temp!AH10+"Ug1!z5"</f>
        <v>#VALUE!</v>
      </c>
      <c r="AR30" t="e">
        <f ca="1">Temp!AI10+"Ug1!z6"</f>
        <v>#VALUE!</v>
      </c>
      <c r="AS30" t="e">
        <f ca="1">Temp!AJ10+"Ug1!z7"</f>
        <v>#VALUE!</v>
      </c>
      <c r="AT30" t="e">
        <f ca="1">Temp!AK10+"Ug1!z8"</f>
        <v>#VALUE!</v>
      </c>
      <c r="AU30" t="e">
        <f ca="1">Temp!AL10+"Ug1!z9"</f>
        <v>#VALUE!</v>
      </c>
      <c r="AV30" t="e">
        <f ca="1">Temp!AM10+"Ug1!z:"</f>
        <v>#VALUE!</v>
      </c>
      <c r="AW30" t="e">
        <f ca="1">Temp!AN10+"Ug1!z;"</f>
        <v>#VALUE!</v>
      </c>
      <c r="AX30" t="e">
        <f ca="1">Temp!AO10+"Ug1!z&lt;"</f>
        <v>#VALUE!</v>
      </c>
      <c r="AY30" t="e">
        <f ca="1">Temp!AP10+"Ug1!z="</f>
        <v>#VALUE!</v>
      </c>
      <c r="AZ30" t="e">
        <f ca="1">Temp!AQ10+"Ug1!z&gt;"</f>
        <v>#VALUE!</v>
      </c>
      <c r="BA30" t="e">
        <f ca="1">Temp!AR10+"Ug1!z?"</f>
        <v>#VALUE!</v>
      </c>
      <c r="BB30" t="e">
        <f ca="1">Temp!AS10+"Ug1!z@"</f>
        <v>#VALUE!</v>
      </c>
      <c r="BC30" t="e">
        <f ca="1">Temp!AT10+"Ug1!zA"</f>
        <v>#VALUE!</v>
      </c>
      <c r="BD30" t="e">
        <f ca="1">Temp!AU10+"Ug1!zB"</f>
        <v>#VALUE!</v>
      </c>
      <c r="BE30" t="e">
        <f ca="1">Temp!AV10+"Ug1!zC"</f>
        <v>#VALUE!</v>
      </c>
      <c r="BF30" t="e">
        <f ca="1">Temp!AW10+"Ug1!zD"</f>
        <v>#VALUE!</v>
      </c>
      <c r="BG30" t="e">
        <f ca="1">Temp!AX10+"Ug1!zE"</f>
        <v>#VALUE!</v>
      </c>
      <c r="BH30" t="e">
        <f ca="1">Temp!AY10+"Ug1!zF"</f>
        <v>#VALUE!</v>
      </c>
      <c r="BI30" t="e">
        <f ca="1">Temp!AZ10+"Ug1!zG"</f>
        <v>#VALUE!</v>
      </c>
      <c r="BJ30" t="e">
        <f ca="1">Temp!BA10+"Ug1!zH"</f>
        <v>#VALUE!</v>
      </c>
      <c r="BK30" t="e">
        <f ca="1">Temp!BB10+"Ug1!zI"</f>
        <v>#VALUE!</v>
      </c>
      <c r="BL30" t="e">
        <f ca="1">Temp!BC10+"Ug1!zJ"</f>
        <v>#VALUE!</v>
      </c>
      <c r="BM30" t="e">
        <f ca="1">Temp!BD10+"Ug1!zK"</f>
        <v>#VALUE!</v>
      </c>
      <c r="BN30" t="e">
        <f ca="1">Temp!BE10+"Ug1!zL"</f>
        <v>#VALUE!</v>
      </c>
      <c r="BO30" t="e">
        <f ca="1">Temp!BF10+"Ug1!zM"</f>
        <v>#VALUE!</v>
      </c>
      <c r="BP30" t="e">
        <f ca="1">Temp!BG10+"Ug1!zN"</f>
        <v>#VALUE!</v>
      </c>
      <c r="BQ30" t="e">
        <f ca="1">Temp!BH10+"Ug1!zO"</f>
        <v>#VALUE!</v>
      </c>
      <c r="BR30" t="e">
        <f ca="1">Temp!BI10+"Ug1!zP"</f>
        <v>#VALUE!</v>
      </c>
      <c r="BS30" t="e">
        <f ca="1">Temp!BJ10+"Ug1!zQ"</f>
        <v>#VALUE!</v>
      </c>
      <c r="BT30" t="e">
        <f ca="1">Temp!BK10+"Ug1!zR"</f>
        <v>#VALUE!</v>
      </c>
      <c r="BU30" t="e">
        <f ca="1">Temp!BL10+"Ug1!zS"</f>
        <v>#VALUE!</v>
      </c>
      <c r="BV30" t="e">
        <f ca="1">Temp!BM10+"Ug1!zT"</f>
        <v>#VALUE!</v>
      </c>
      <c r="BW30" t="e">
        <f ca="1">Temp!BN10+"Ug1!zU"</f>
        <v>#VALUE!</v>
      </c>
      <c r="BX30" t="e">
        <f ca="1">Temp!BO10+"Ug1!zV"</f>
        <v>#VALUE!</v>
      </c>
      <c r="BY30" t="e">
        <f ca="1">Temp!BP10+"Ug1!zW"</f>
        <v>#VALUE!</v>
      </c>
      <c r="BZ30" t="e">
        <f ca="1">Temp!BQ10+"Ug1!zX"</f>
        <v>#VALUE!</v>
      </c>
      <c r="CA30" t="e">
        <f ca="1">Temp!BR10+"Ug1!zY"</f>
        <v>#VALUE!</v>
      </c>
      <c r="CB30" t="e">
        <f ca="1">Temp!BS10+"Ug1!zZ"</f>
        <v>#VALUE!</v>
      </c>
      <c r="CC30" t="e">
        <f ca="1">Temp!BT10+"Ug1!z["</f>
        <v>#VALUE!</v>
      </c>
      <c r="CD30" t="e">
        <f ca="1">Temp!BU10+"Ug1!z\"</f>
        <v>#VALUE!</v>
      </c>
      <c r="CE30" t="e">
        <f ca="1">Temp!BV10+"Ug1!z]"</f>
        <v>#VALUE!</v>
      </c>
      <c r="CF30" t="e">
        <f ca="1">Temp!BW10+"Ug1!z^"</f>
        <v>#VALUE!</v>
      </c>
      <c r="CG30" t="e">
        <f ca="1">Temp!BX10+"Ug1!z_"</f>
        <v>#VALUE!</v>
      </c>
      <c r="CH30" t="e">
        <f ca="1">Temp!BY10+"Ug1!z`"</f>
        <v>#VALUE!</v>
      </c>
      <c r="CI30" t="e">
        <f ca="1">Temp!A11+"Ug1!za"</f>
        <v>#VALUE!</v>
      </c>
      <c r="CJ30" t="e">
        <f ca="1">Temp!B11+"Ug1!zb"</f>
        <v>#VALUE!</v>
      </c>
      <c r="CK30" t="e">
        <f ca="1">Temp!C11+"Ug1!zc"</f>
        <v>#VALUE!</v>
      </c>
      <c r="CL30" t="e">
        <f ca="1">Temp!D11+"Ug1!zd"</f>
        <v>#VALUE!</v>
      </c>
      <c r="CM30" t="e">
        <f ca="1">Temp!A12+"Ug1!ze"</f>
        <v>#VALUE!</v>
      </c>
      <c r="CN30" t="e">
        <f ca="1">Temp!B12+"Ug1!zf"</f>
        <v>#VALUE!</v>
      </c>
      <c r="CO30" t="e">
        <f ca="1">Temp!C12+"Ug1!zg"</f>
        <v>#VALUE!</v>
      </c>
      <c r="CP30" t="e">
        <f ca="1">Temp!D12+"Ug1!zh"</f>
        <v>#VALUE!</v>
      </c>
      <c r="CQ30" t="e">
        <f ca="1">Temp!E12+"Ug1!zi"</f>
        <v>#VALUE!</v>
      </c>
      <c r="CR30" t="e">
        <f ca="1">Temp!G12+"Ug1!zj"</f>
        <v>#VALUE!</v>
      </c>
      <c r="CS30" t="e">
        <f ca="1">Temp!J12+"Ug1!zk"</f>
        <v>#VALUE!</v>
      </c>
      <c r="CT30" t="e">
        <f ca="1">Temp!K12+"Ug1!zl"</f>
        <v>#VALUE!</v>
      </c>
      <c r="CU30" t="e">
        <f ca="1">Temp!L12+"Ug1!zm"</f>
        <v>#VALUE!</v>
      </c>
      <c r="CV30" t="e">
        <f ca="1">Temp!M12+"Ug1!zn"</f>
        <v>#VALUE!</v>
      </c>
      <c r="CW30" t="e">
        <f ca="1">Temp!N12+"Ug1!zo"</f>
        <v>#VALUE!</v>
      </c>
      <c r="CX30" t="e">
        <f ca="1">Temp!O12+"Ug1!zp"</f>
        <v>#VALUE!</v>
      </c>
      <c r="CY30" t="e">
        <f ca="1">Temp!P12+"Ug1!zq"</f>
        <v>#VALUE!</v>
      </c>
      <c r="CZ30" t="e">
        <f ca="1">Temp!Q12+"Ug1!zr"</f>
        <v>#VALUE!</v>
      </c>
      <c r="DA30" t="e">
        <f ca="1">Temp!R12+"Ug1!zs"</f>
        <v>#VALUE!</v>
      </c>
      <c r="DB30" t="e">
        <f ca="1">Temp!S12+"Ug1!zt"</f>
        <v>#VALUE!</v>
      </c>
      <c r="DC30" t="e">
        <f ca="1">Temp!T12+"Ug1!zu"</f>
        <v>#VALUE!</v>
      </c>
      <c r="DD30" t="e">
        <f ca="1">Temp!U12+"Ug1!zv"</f>
        <v>#VALUE!</v>
      </c>
      <c r="DE30" t="e">
        <f ca="1">Temp!V12+"Ug1!zw"</f>
        <v>#VALUE!</v>
      </c>
      <c r="DF30" t="e">
        <f ca="1">Temp!W12+"Ug1!zx"</f>
        <v>#VALUE!</v>
      </c>
      <c r="DG30" t="e">
        <f ca="1">Temp!X12+"Ug1!zy"</f>
        <v>#VALUE!</v>
      </c>
      <c r="DH30" t="e">
        <f ca="1">Temp!Y12+"Ug1!zz"</f>
        <v>#VALUE!</v>
      </c>
      <c r="DI30" t="e">
        <f ca="1">Temp!Z12+"Ug1!z{"</f>
        <v>#VALUE!</v>
      </c>
      <c r="DJ30" t="e">
        <f ca="1">Temp!AA12+"Ug1!z|"</f>
        <v>#VALUE!</v>
      </c>
      <c r="DK30" t="e">
        <f ca="1">Temp!AB12+"Ug1!z}"</f>
        <v>#VALUE!</v>
      </c>
      <c r="DL30" t="e">
        <f ca="1">Temp!AC12+"Ug1!z~"</f>
        <v>#VALUE!</v>
      </c>
      <c r="DM30" t="e">
        <f ca="1">Temp!AD12+"Ug1!{#"</f>
        <v>#VALUE!</v>
      </c>
      <c r="DN30" t="e">
        <f ca="1">Temp!AE12+"Ug1!{$"</f>
        <v>#VALUE!</v>
      </c>
      <c r="DO30" t="e">
        <f ca="1">Temp!AF12+"Ug1!{%"</f>
        <v>#VALUE!</v>
      </c>
      <c r="DP30" t="e">
        <f ca="1">Temp!AG12+"Ug1!{&amp;"</f>
        <v>#VALUE!</v>
      </c>
      <c r="DQ30" t="e">
        <f ca="1">Temp!AH12+"Ug1!{'"</f>
        <v>#VALUE!</v>
      </c>
      <c r="DR30" t="e">
        <f ca="1">Temp!AI12+"Ug1!{("</f>
        <v>#VALUE!</v>
      </c>
      <c r="DS30" t="e">
        <f ca="1">Temp!AJ12+"Ug1!{)"</f>
        <v>#VALUE!</v>
      </c>
      <c r="DT30" t="e">
        <f ca="1">Temp!AK12+"Ug1!{."</f>
        <v>#VALUE!</v>
      </c>
      <c r="DU30" t="e">
        <f ca="1">Temp!AL12+"Ug1!{/"</f>
        <v>#VALUE!</v>
      </c>
      <c r="DV30" t="e">
        <f ca="1">Temp!AM12+"Ug1!{0"</f>
        <v>#VALUE!</v>
      </c>
      <c r="DW30" t="e">
        <f ca="1">Temp!AN12+"Ug1!{1"</f>
        <v>#VALUE!</v>
      </c>
      <c r="DX30" t="e">
        <f ca="1">Temp!AO12+"Ug1!{2"</f>
        <v>#VALUE!</v>
      </c>
      <c r="DY30" t="e">
        <f ca="1">Temp!AP12+"Ug1!{3"</f>
        <v>#VALUE!</v>
      </c>
      <c r="DZ30" t="e">
        <f ca="1">Temp!AQ12+"Ug1!{4"</f>
        <v>#VALUE!</v>
      </c>
      <c r="EA30" t="e">
        <f ca="1">Temp!AR12+"Ug1!{5"</f>
        <v>#VALUE!</v>
      </c>
      <c r="EB30" t="e">
        <f ca="1">Temp!AS12+"Ug1!{6"</f>
        <v>#VALUE!</v>
      </c>
      <c r="EC30" t="e">
        <f ca="1">Temp!AT12+"Ug1!{7"</f>
        <v>#VALUE!</v>
      </c>
      <c r="ED30" t="e">
        <f ca="1">Temp!AU12+"Ug1!{8"</f>
        <v>#VALUE!</v>
      </c>
      <c r="EE30" t="e">
        <f ca="1">Temp!AV12+"Ug1!{9"</f>
        <v>#VALUE!</v>
      </c>
      <c r="EF30" t="e">
        <f ca="1">Temp!AW12+"Ug1!{:"</f>
        <v>#VALUE!</v>
      </c>
      <c r="EG30" t="e">
        <f ca="1">Temp!AX12+"Ug1!{;"</f>
        <v>#VALUE!</v>
      </c>
      <c r="EH30" t="e">
        <f ca="1">Temp!AY12+"Ug1!{&lt;"</f>
        <v>#VALUE!</v>
      </c>
      <c r="EI30" t="e">
        <f ca="1">Temp!AZ12+"Ug1!{="</f>
        <v>#VALUE!</v>
      </c>
      <c r="EJ30" t="e">
        <f ca="1">Temp!BA12+"Ug1!{&gt;"</f>
        <v>#VALUE!</v>
      </c>
      <c r="EK30" t="e">
        <f ca="1">Temp!BB12+"Ug1!{?"</f>
        <v>#VALUE!</v>
      </c>
      <c r="EL30" t="e">
        <f ca="1">Temp!BC12+"Ug1!{@"</f>
        <v>#VALUE!</v>
      </c>
      <c r="EM30" t="e">
        <f ca="1">Temp!BD12+"Ug1!{A"</f>
        <v>#VALUE!</v>
      </c>
      <c r="EN30" t="e">
        <f ca="1">Temp!BE12+"Ug1!{B"</f>
        <v>#VALUE!</v>
      </c>
      <c r="EO30" t="e">
        <f ca="1">Temp!BF12+"Ug1!{C"</f>
        <v>#VALUE!</v>
      </c>
      <c r="EP30" t="e">
        <f ca="1">Temp!BG12+"Ug1!{D"</f>
        <v>#VALUE!</v>
      </c>
      <c r="EQ30" t="e">
        <f ca="1">Temp!BH12+"Ug1!{E"</f>
        <v>#VALUE!</v>
      </c>
      <c r="ER30" t="e">
        <f ca="1">Temp!BI12+"Ug1!{F"</f>
        <v>#VALUE!</v>
      </c>
      <c r="ES30" t="e">
        <f ca="1">Temp!BJ12+"Ug1!{G"</f>
        <v>#VALUE!</v>
      </c>
      <c r="ET30" t="e">
        <f ca="1">Temp!BK12+"Ug1!{H"</f>
        <v>#VALUE!</v>
      </c>
      <c r="EU30" t="e">
        <f ca="1">Temp!BL12+"Ug1!{I"</f>
        <v>#VALUE!</v>
      </c>
      <c r="EV30" t="e">
        <f ca="1">Temp!BM12+"Ug1!{J"</f>
        <v>#VALUE!</v>
      </c>
      <c r="EW30" t="e">
        <f ca="1">Temp!BN12+"Ug1!{K"</f>
        <v>#VALUE!</v>
      </c>
      <c r="EX30" t="e">
        <f ca="1">Temp!BO12+"Ug1!{L"</f>
        <v>#VALUE!</v>
      </c>
      <c r="EY30" t="e">
        <f ca="1">Temp!BP12+"Ug1!{M"</f>
        <v>#VALUE!</v>
      </c>
      <c r="EZ30" t="e">
        <f ca="1">Temp!BQ12+"Ug1!{N"</f>
        <v>#VALUE!</v>
      </c>
      <c r="FA30" t="e">
        <f ca="1">Temp!BR12+"Ug1!{O"</f>
        <v>#VALUE!</v>
      </c>
      <c r="FB30" t="e">
        <f ca="1">Temp!BS12+"Ug1!{P"</f>
        <v>#VALUE!</v>
      </c>
      <c r="FC30" t="e">
        <f ca="1">Temp!BT12+"Ug1!{Q"</f>
        <v>#VALUE!</v>
      </c>
      <c r="FD30" t="e">
        <f ca="1">Temp!BU12+"Ug1!{R"</f>
        <v>#VALUE!</v>
      </c>
      <c r="FE30" t="e">
        <f ca="1">Temp!BV12+"Ug1!{S"</f>
        <v>#VALUE!</v>
      </c>
      <c r="FF30" t="e">
        <f ca="1">Temp!BW12+"Ug1!{T"</f>
        <v>#VALUE!</v>
      </c>
      <c r="FG30" t="e">
        <f ca="1">Temp!BX12+"Ug1!{U"</f>
        <v>#VALUE!</v>
      </c>
      <c r="FH30" t="e">
        <f ca="1">Temp!BY12+"Ug1!{V"</f>
        <v>#VALUE!</v>
      </c>
      <c r="FI30" t="e">
        <f ca="1">Temp!A13+"Ug1!{W"</f>
        <v>#VALUE!</v>
      </c>
      <c r="FJ30" t="e">
        <f ca="1">Temp!B13+"Ug1!{X"</f>
        <v>#VALUE!</v>
      </c>
      <c r="FK30" t="e">
        <f ca="1">Temp!C13+"Ug1!{Y"</f>
        <v>#VALUE!</v>
      </c>
      <c r="FL30" t="e">
        <f ca="1">Temp!D13+"Ug1!{Z"</f>
        <v>#VALUE!</v>
      </c>
      <c r="FM30" t="e">
        <f ca="1">Temp!E13+"Ug1!{["</f>
        <v>#VALUE!</v>
      </c>
      <c r="FN30" t="e">
        <f ca="1">Temp!A14+"Ug1!{\"</f>
        <v>#VALUE!</v>
      </c>
      <c r="FO30" t="e">
        <f ca="1">Temp!B14+"Ug1!{]"</f>
        <v>#VALUE!</v>
      </c>
      <c r="FP30" t="e">
        <f ca="1">Temp!C14+"Ug1!{^"</f>
        <v>#VALUE!</v>
      </c>
      <c r="FQ30" t="e">
        <f ca="1">Temp!D14+"Ug1!{_"</f>
        <v>#VALUE!</v>
      </c>
      <c r="FR30" t="e">
        <f ca="1">Temp!E14+"Ug1!{`"</f>
        <v>#VALUE!</v>
      </c>
      <c r="FS30" t="e">
        <f ca="1">Temp!A15+"Ug1!{a"</f>
        <v>#VALUE!</v>
      </c>
      <c r="FT30" t="e">
        <f ca="1">Temp!B15+"Ug1!{b"</f>
        <v>#VALUE!</v>
      </c>
      <c r="FU30" t="e">
        <f ca="1">Temp!C15+"Ug1!{c"</f>
        <v>#VALUE!</v>
      </c>
      <c r="FV30" t="e">
        <f ca="1">Temp!D15+"Ug1!{d"</f>
        <v>#VALUE!</v>
      </c>
      <c r="FW30" t="e">
        <f ca="1">Temp!E15+"Ug1!{e"</f>
        <v>#VALUE!</v>
      </c>
      <c r="FX30" t="e">
        <f ca="1">Temp!G15+"Ug1!{f"</f>
        <v>#VALUE!</v>
      </c>
      <c r="FY30" t="e">
        <f ca="1">Temp!I15+"Ug1!{g"</f>
        <v>#VALUE!</v>
      </c>
      <c r="FZ30" t="e">
        <f ca="1">Temp!J15+"Ug1!{h"</f>
        <v>#VALUE!</v>
      </c>
      <c r="GA30" t="e">
        <f ca="1">Temp!K15+"Ug1!{i"</f>
        <v>#VALUE!</v>
      </c>
      <c r="GB30" t="e">
        <f ca="1">Temp!L15+"Ug1!{j"</f>
        <v>#VALUE!</v>
      </c>
      <c r="GC30" t="e">
        <f ca="1">Temp!M15+"Ug1!{k"</f>
        <v>#VALUE!</v>
      </c>
      <c r="GD30" t="e">
        <f ca="1">Temp!N15+"Ug1!{l"</f>
        <v>#VALUE!</v>
      </c>
      <c r="GE30" t="e">
        <f ca="1">Temp!O15+"Ug1!{m"</f>
        <v>#VALUE!</v>
      </c>
      <c r="GF30" t="e">
        <f ca="1">Temp!P15+"Ug1!{n"</f>
        <v>#VALUE!</v>
      </c>
      <c r="GG30" t="e">
        <f ca="1">Temp!Q15+"Ug1!{o"</f>
        <v>#VALUE!</v>
      </c>
      <c r="GH30" t="e">
        <f ca="1">Temp!R15+"Ug1!{p"</f>
        <v>#VALUE!</v>
      </c>
      <c r="GI30" t="e">
        <f ca="1">Temp!S15+"Ug1!{q"</f>
        <v>#VALUE!</v>
      </c>
      <c r="GJ30" t="e">
        <f ca="1">Temp!T15+"Ug1!{r"</f>
        <v>#VALUE!</v>
      </c>
      <c r="GK30" t="e">
        <f ca="1">Temp!U15+"Ug1!{s"</f>
        <v>#VALUE!</v>
      </c>
      <c r="GL30" t="e">
        <f ca="1">Temp!V15+"Ug1!{t"</f>
        <v>#VALUE!</v>
      </c>
      <c r="GM30" t="e">
        <f ca="1">Temp!W15+"Ug1!{u"</f>
        <v>#VALUE!</v>
      </c>
      <c r="GN30" t="e">
        <f ca="1">Temp!X15+"Ug1!{v"</f>
        <v>#VALUE!</v>
      </c>
      <c r="GO30" t="e">
        <f ca="1">Temp!Y15+"Ug1!{w"</f>
        <v>#VALUE!</v>
      </c>
      <c r="GP30" t="e">
        <f ca="1">Temp!Z15+"Ug1!{x"</f>
        <v>#VALUE!</v>
      </c>
      <c r="GQ30" t="e">
        <f ca="1">Temp!AA15+"Ug1!{y"</f>
        <v>#VALUE!</v>
      </c>
      <c r="GR30" t="e">
        <f ca="1">Temp!AB15+"Ug1!{z"</f>
        <v>#VALUE!</v>
      </c>
      <c r="GS30" t="e">
        <f ca="1">Temp!AC15+"Ug1!{{"</f>
        <v>#VALUE!</v>
      </c>
      <c r="GT30" t="e">
        <f ca="1">Temp!AD15+"Ug1!{|"</f>
        <v>#VALUE!</v>
      </c>
      <c r="GU30" t="e">
        <f ca="1">Temp!AE15+"Ug1!{}"</f>
        <v>#VALUE!</v>
      </c>
      <c r="GV30" t="e">
        <f ca="1">Temp!AF15+"Ug1!{~"</f>
        <v>#VALUE!</v>
      </c>
      <c r="GW30" t="e">
        <f ca="1">Temp!AG15+"Ug1!|#"</f>
        <v>#VALUE!</v>
      </c>
      <c r="GX30" t="e">
        <f ca="1">Temp!AH15+"Ug1!|$"</f>
        <v>#VALUE!</v>
      </c>
      <c r="GY30" t="e">
        <f ca="1">Temp!AI15+"Ug1!|%"</f>
        <v>#VALUE!</v>
      </c>
      <c r="GZ30" t="e">
        <f ca="1">Temp!AJ15+"Ug1!|&amp;"</f>
        <v>#VALUE!</v>
      </c>
      <c r="HA30" t="e">
        <f ca="1">Temp!AK15+"Ug1!|'"</f>
        <v>#VALUE!</v>
      </c>
      <c r="HB30" t="e">
        <f ca="1">Temp!AL15+"Ug1!|("</f>
        <v>#VALUE!</v>
      </c>
      <c r="HC30" t="e">
        <f ca="1">Temp!AM15+"Ug1!|)"</f>
        <v>#VALUE!</v>
      </c>
      <c r="HD30" t="e">
        <f ca="1">Temp!AN15+"Ug1!|."</f>
        <v>#VALUE!</v>
      </c>
      <c r="HE30" t="e">
        <f ca="1">Temp!AO15+"Ug1!|/"</f>
        <v>#VALUE!</v>
      </c>
      <c r="HF30" t="e">
        <f ca="1">Temp!AP15+"Ug1!|0"</f>
        <v>#VALUE!</v>
      </c>
      <c r="HG30" t="e">
        <f ca="1">Temp!AQ15+"Ug1!|1"</f>
        <v>#VALUE!</v>
      </c>
      <c r="HH30" t="e">
        <f ca="1">Temp!AR15+"Ug1!|2"</f>
        <v>#VALUE!</v>
      </c>
      <c r="HI30" t="e">
        <f ca="1">Temp!AS15+"Ug1!|3"</f>
        <v>#VALUE!</v>
      </c>
      <c r="HJ30" t="e">
        <f ca="1">Temp!AT15+"Ug1!|4"</f>
        <v>#VALUE!</v>
      </c>
      <c r="HK30" t="e">
        <f ca="1">Temp!AU15+"Ug1!|5"</f>
        <v>#VALUE!</v>
      </c>
      <c r="HL30" t="e">
        <f ca="1">Temp!AV15+"Ug1!|6"</f>
        <v>#VALUE!</v>
      </c>
      <c r="HM30" t="e">
        <f ca="1">Temp!AW15+"Ug1!|7"</f>
        <v>#VALUE!</v>
      </c>
      <c r="HN30" t="e">
        <f ca="1">Temp!AX15+"Ug1!|8"</f>
        <v>#VALUE!</v>
      </c>
      <c r="HO30" t="e">
        <f ca="1">Temp!AY15+"Ug1!|9"</f>
        <v>#VALUE!</v>
      </c>
      <c r="HP30" t="e">
        <f ca="1">Temp!AZ15+"Ug1!|:"</f>
        <v>#VALUE!</v>
      </c>
      <c r="HQ30" t="e">
        <f ca="1">Temp!BA15+"Ug1!|;"</f>
        <v>#VALUE!</v>
      </c>
      <c r="HR30" t="e">
        <f ca="1">Temp!BB15+"Ug1!|&lt;"</f>
        <v>#VALUE!</v>
      </c>
      <c r="HS30" t="e">
        <f ca="1">Temp!BC15+"Ug1!|="</f>
        <v>#VALUE!</v>
      </c>
      <c r="HT30" t="e">
        <f ca="1">Temp!BD15+"Ug1!|&gt;"</f>
        <v>#VALUE!</v>
      </c>
      <c r="HU30" t="e">
        <f ca="1">Temp!BE15+"Ug1!|?"</f>
        <v>#VALUE!</v>
      </c>
      <c r="HV30" t="e">
        <f ca="1">Temp!BF15+"Ug1!|@"</f>
        <v>#VALUE!</v>
      </c>
      <c r="HW30" t="e">
        <f ca="1">Temp!BG15+"Ug1!|A"</f>
        <v>#VALUE!</v>
      </c>
      <c r="HX30" t="e">
        <f ca="1">Temp!BH15+"Ug1!|B"</f>
        <v>#VALUE!</v>
      </c>
      <c r="HY30" t="e">
        <f ca="1">Temp!BI15+"Ug1!|C"</f>
        <v>#VALUE!</v>
      </c>
      <c r="HZ30" t="e">
        <f ca="1">Temp!BJ15+"Ug1!|D"</f>
        <v>#VALUE!</v>
      </c>
      <c r="IA30" t="e">
        <f ca="1">Temp!BK15+"Ug1!|E"</f>
        <v>#VALUE!</v>
      </c>
      <c r="IB30" t="e">
        <f ca="1">Temp!BL15+"Ug1!|F"</f>
        <v>#VALUE!</v>
      </c>
      <c r="IC30" t="e">
        <f ca="1">Temp!BM15+"Ug1!|G"</f>
        <v>#VALUE!</v>
      </c>
      <c r="ID30" t="e">
        <f ca="1">Temp!BN15+"Ug1!|H"</f>
        <v>#VALUE!</v>
      </c>
      <c r="IE30" t="e">
        <f ca="1">Temp!BO15+"Ug1!|I"</f>
        <v>#VALUE!</v>
      </c>
      <c r="IF30" t="e">
        <f ca="1">Temp!BP15+"Ug1!|J"</f>
        <v>#VALUE!</v>
      </c>
      <c r="IG30" t="e">
        <f ca="1">Temp!BQ15+"Ug1!|K"</f>
        <v>#VALUE!</v>
      </c>
      <c r="IH30" t="e">
        <f ca="1">Temp!BR15+"Ug1!|L"</f>
        <v>#VALUE!</v>
      </c>
      <c r="II30" t="e">
        <f ca="1">Temp!BS15+"Ug1!|M"</f>
        <v>#VALUE!</v>
      </c>
      <c r="IJ30" t="e">
        <f ca="1">Temp!BT15+"Ug1!|N"</f>
        <v>#VALUE!</v>
      </c>
      <c r="IK30" t="e">
        <f ca="1">Temp!BU15+"Ug1!|O"</f>
        <v>#VALUE!</v>
      </c>
      <c r="IL30" t="e">
        <f ca="1">Temp!BV15+"Ug1!|P"</f>
        <v>#VALUE!</v>
      </c>
      <c r="IM30" t="e">
        <f ca="1">Temp!BW15+"Ug1!|Q"</f>
        <v>#VALUE!</v>
      </c>
      <c r="IN30" t="e">
        <f ca="1">Temp!BX15+"Ug1!|R"</f>
        <v>#VALUE!</v>
      </c>
      <c r="IO30" t="e">
        <f ca="1">Temp!BY15+"Ug1!|S"</f>
        <v>#VALUE!</v>
      </c>
      <c r="IP30" t="e">
        <f ca="1">Temp!A16+"Ug1!|T"</f>
        <v>#VALUE!</v>
      </c>
      <c r="IQ30" t="e">
        <f ca="1">Temp!B16+"Ug1!|U"</f>
        <v>#VALUE!</v>
      </c>
      <c r="IR30" t="e">
        <f ca="1">Temp!C16+"Ug1!|V"</f>
        <v>#VALUE!</v>
      </c>
      <c r="IS30" t="e">
        <f ca="1">Temp!D16+"Ug1!|W"</f>
        <v>#VALUE!</v>
      </c>
      <c r="IT30" t="e">
        <f ca="1">Temp!E20+"Ug1!|X"</f>
        <v>#VALUE!</v>
      </c>
      <c r="IU30" t="e">
        <f ca="1">Temp!F22+"Ug1!|Y"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InpC</vt:lpstr>
      <vt:lpstr>Time</vt:lpstr>
      <vt:lpstr>EfW</vt:lpstr>
      <vt:lpstr>Temp</vt:lpstr>
      <vt:lpstr>EfW!Print_Area</vt:lpstr>
      <vt:lpstr>InpC!Print_Area</vt:lpstr>
      <vt:lpstr>Temp!Print_Area</vt:lpstr>
      <vt:lpstr>Time!Print_Area</vt:lpstr>
      <vt:lpstr>EfW!Print_Titles</vt:lpstr>
      <vt:lpstr>InpC!Print_Titles</vt:lpstr>
      <vt:lpstr>Temp!Print_Titles</vt:lpstr>
      <vt:lpstr>Time!Print_Titles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Modeller</dc:creator>
  <cp:lastModifiedBy>Windows User</cp:lastModifiedBy>
  <cp:lastPrinted>2008-10-15T15:36:30Z</cp:lastPrinted>
  <dcterms:created xsi:type="dcterms:W3CDTF">2004-05-12T17:06:52Z</dcterms:created>
  <dcterms:modified xsi:type="dcterms:W3CDTF">2014-10-17T16:16:56Z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Offisync_UpdateToken" pid="2">
    <vt:lpwstr>1</vt:lpwstr>
  </property>
  <property fmtid="{D5CDD505-2E9C-101B-9397-08002B2CF9AE}" name="Jive_VersionGuid" pid="3">
    <vt:lpwstr>f21a6b6650a24dbe921c5413ea028a87</vt:lpwstr>
  </property>
  <property fmtid="{D5CDD505-2E9C-101B-9397-08002B2CF9AE}" name="Offisync_UniqueId" pid="4">
    <vt:lpwstr>2200</vt:lpwstr>
  </property>
  <property fmtid="{D5CDD505-2E9C-101B-9397-08002B2CF9AE}" name="Jive_LatestUserAccountName" pid="5">
    <vt:lpwstr>kenny.whitelaw-jones@f1f9.com</vt:lpwstr>
  </property>
  <property fmtid="{D5CDD505-2E9C-101B-9397-08002B2CF9AE}" name="Offisync_ProviderInitializationData" pid="6">
    <vt:lpwstr>https://f1f9.jiveon.com</vt:lpwstr>
  </property>
  <property fmtid="{D5CDD505-2E9C-101B-9397-08002B2CF9AE}" name="Offisync_ServerID" pid="7">
    <vt:lpwstr>15cc4727-2be0-49a0-b8bf-d07d94f0ee92</vt:lpwstr>
  </property>
</Properties>
</file>