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ustomProperty" PartName="/xl/customProperty1.bin"/>
  <Override ContentType="application/vnd.openxmlformats-officedocument.spreadsheetml.customProperty" PartName="/xl/customProperty2.bin"/>
  <Override ContentType="application/vnd.openxmlformats-officedocument.spreadsheetml.customProperty" PartName="/xl/customProperty3.bin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05" yWindow="1365" windowWidth="15180" windowHeight="9345" tabRatio="456" activeTab="2"/>
  </bookViews>
  <sheets>
    <sheet name="InpC" sheetId="48" r:id="rId1"/>
    <sheet name="Time" sheetId="44" r:id="rId2"/>
    <sheet name="Temp" sheetId="28" r:id="rId3"/>
    <sheet name="D%$&amp;01_DevSheet" sheetId="49" state="veryHidden" r:id="rId4"/>
  </sheets>
  <definedNames>
    <definedName name="_xlnm.Print_Area" localSheetId="0">InpC!$A:$H</definedName>
    <definedName name="_xlnm.Print_Area" localSheetId="2">Temp!$1:$15</definedName>
    <definedName name="_xlnm.Print_Area" localSheetId="1">Time!$A$1:$BY$55</definedName>
    <definedName name="_xlnm.Print_Titles" localSheetId="0">InpC!$A:$G,InpC!$1:$5</definedName>
    <definedName name="_xlnm.Print_Titles" localSheetId="2">Temp!$A:$G,Temp!$1:$5</definedName>
    <definedName name="_xlnm.Print_Titles" localSheetId="1">Time!$A:$G,Time!$1:$5</definedName>
  </definedNames>
  <calcPr calcId="144525" calcMode="manual" calcCompleted="0" calcOnSave="0"/>
</workbook>
</file>

<file path=xl/calcChain.xml><?xml version="1.0" encoding="utf-8"?>
<calcChain xmlns="http://schemas.openxmlformats.org/spreadsheetml/2006/main">
  <c r="F2" i="49" l="1"/>
  <c r="G2" i="49"/>
  <c r="H2" i="49"/>
  <c r="I2" i="49"/>
  <c r="J2" i="49"/>
  <c r="K2" i="49"/>
  <c r="L2" i="49"/>
  <c r="M2" i="49"/>
  <c r="N2" i="49"/>
  <c r="O2" i="49"/>
  <c r="P2" i="49"/>
  <c r="Q2" i="49"/>
  <c r="R2" i="49"/>
  <c r="S2" i="49"/>
  <c r="T2" i="49"/>
  <c r="U2" i="49"/>
  <c r="V2" i="49"/>
  <c r="W2" i="49"/>
  <c r="X2" i="49"/>
  <c r="Y2" i="49"/>
  <c r="Z2" i="49"/>
  <c r="AA2" i="49"/>
  <c r="AB2" i="49"/>
  <c r="AC2" i="49"/>
  <c r="AD2" i="49"/>
  <c r="AE2" i="49"/>
  <c r="AF2" i="49"/>
  <c r="AG2" i="49"/>
  <c r="AH2" i="49"/>
  <c r="AI2" i="49"/>
  <c r="AJ2" i="49"/>
  <c r="AK2" i="49"/>
  <c r="AL2" i="49"/>
  <c r="AM2" i="49"/>
  <c r="AN2" i="49"/>
  <c r="AO2" i="49"/>
  <c r="AP2" i="49"/>
  <c r="AQ2" i="49"/>
  <c r="AR2" i="49"/>
  <c r="AS2" i="49"/>
  <c r="AT2" i="49"/>
  <c r="AU2" i="49"/>
  <c r="AV2" i="49"/>
  <c r="AW2" i="49"/>
  <c r="AX2" i="49"/>
  <c r="AY2" i="49"/>
  <c r="AZ2" i="49"/>
  <c r="BA2" i="49"/>
  <c r="BB2" i="49"/>
  <c r="BC2" i="49"/>
  <c r="BD2" i="49"/>
  <c r="BE2" i="49"/>
  <c r="BF2" i="49"/>
  <c r="BG2" i="49"/>
  <c r="BH2" i="49"/>
  <c r="BI2" i="49"/>
  <c r="BJ2" i="49"/>
  <c r="BK2" i="49"/>
  <c r="BL2" i="49"/>
  <c r="BM2" i="49"/>
  <c r="BN2" i="49"/>
  <c r="BO2" i="49"/>
  <c r="BP2" i="49"/>
  <c r="BQ2" i="49"/>
  <c r="BR2" i="49"/>
  <c r="BS2" i="49"/>
  <c r="BT2" i="49"/>
  <c r="BU2" i="49"/>
  <c r="BV2" i="49"/>
  <c r="BW2" i="49"/>
  <c r="BX2" i="49"/>
  <c r="BY2" i="49"/>
  <c r="BZ2" i="49"/>
  <c r="CA2" i="49"/>
  <c r="CB2" i="49"/>
  <c r="CC2" i="49"/>
  <c r="CD2" i="49"/>
  <c r="CE2" i="49"/>
  <c r="CF2" i="49"/>
  <c r="CG2" i="49"/>
  <c r="CH2" i="49"/>
  <c r="CI2" i="49"/>
  <c r="CJ2" i="49"/>
  <c r="CK2" i="49"/>
  <c r="CL2" i="49"/>
  <c r="CM2" i="49"/>
  <c r="CN2" i="49"/>
  <c r="CO2" i="49"/>
  <c r="CP2" i="49"/>
  <c r="CQ2" i="49"/>
  <c r="CR2" i="49"/>
  <c r="CS2" i="49"/>
  <c r="CT2" i="49"/>
  <c r="CU2" i="49"/>
  <c r="CV2" i="49"/>
  <c r="CW2" i="49"/>
  <c r="CX2" i="49"/>
  <c r="CY2" i="49"/>
  <c r="CZ2" i="49"/>
  <c r="DA2" i="49"/>
  <c r="DB2" i="49"/>
  <c r="DC2" i="49"/>
  <c r="DD2" i="49"/>
  <c r="DE2" i="49"/>
  <c r="DF2" i="49"/>
  <c r="DG2" i="49"/>
  <c r="DH2" i="49"/>
  <c r="DI2" i="49"/>
  <c r="DJ2" i="49"/>
  <c r="DK2" i="49"/>
  <c r="DL2" i="49"/>
  <c r="DM2" i="49"/>
  <c r="DN2" i="49"/>
  <c r="DO2" i="49"/>
  <c r="DP2" i="49"/>
  <c r="DQ2" i="49"/>
  <c r="DR2" i="49"/>
  <c r="DS2" i="49"/>
  <c r="DT2" i="49"/>
  <c r="DU2" i="49"/>
  <c r="DV2" i="49"/>
  <c r="DW2" i="49"/>
  <c r="DX2" i="49"/>
  <c r="DY2" i="49"/>
  <c r="DZ2" i="49"/>
  <c r="EA2" i="49"/>
  <c r="EB2" i="49"/>
  <c r="EC2" i="49"/>
  <c r="ED2" i="49"/>
  <c r="EE2" i="49"/>
  <c r="EF2" i="49"/>
  <c r="EG2" i="49"/>
  <c r="EH2" i="49"/>
  <c r="EI2" i="49"/>
  <c r="EJ2" i="49"/>
  <c r="EK2" i="49"/>
  <c r="EL2" i="49"/>
  <c r="EM2" i="49"/>
  <c r="EN2" i="49"/>
  <c r="EO2" i="49"/>
  <c r="EP2" i="49"/>
  <c r="EQ2" i="49"/>
  <c r="ER2" i="49"/>
  <c r="ES2" i="49"/>
  <c r="ET2" i="49"/>
  <c r="EU2" i="49"/>
  <c r="EV2" i="49"/>
  <c r="EW2" i="49"/>
  <c r="EX2" i="49"/>
  <c r="EY2" i="49"/>
  <c r="EZ2" i="49"/>
  <c r="FA2" i="49"/>
  <c r="FB2" i="49"/>
  <c r="FC2" i="49"/>
  <c r="FD2" i="49"/>
  <c r="FE2" i="49"/>
  <c r="FF2" i="49"/>
  <c r="FG2" i="49"/>
  <c r="FH2" i="49"/>
  <c r="FI2" i="49"/>
  <c r="FJ2" i="49"/>
  <c r="FK2" i="49"/>
  <c r="FL2" i="49"/>
  <c r="FM2" i="49"/>
  <c r="FN2" i="49"/>
  <c r="FO2" i="49"/>
  <c r="FP2" i="49"/>
  <c r="FQ2" i="49"/>
  <c r="FR2" i="49"/>
  <c r="FS2" i="49"/>
  <c r="FT2" i="49"/>
  <c r="FU2" i="49"/>
  <c r="FV2" i="49"/>
  <c r="FW2" i="49"/>
  <c r="FX2" i="49"/>
  <c r="FY2" i="49"/>
  <c r="FZ2" i="49"/>
  <c r="GA2" i="49"/>
  <c r="GB2" i="49"/>
  <c r="GC2" i="49"/>
  <c r="GD2" i="49"/>
  <c r="GE2" i="49"/>
  <c r="GF2" i="49"/>
  <c r="GG2" i="49"/>
  <c r="GH2" i="49"/>
  <c r="GI2" i="49"/>
  <c r="GJ2" i="49"/>
  <c r="GK2" i="49"/>
  <c r="GL2" i="49"/>
  <c r="GM2" i="49"/>
  <c r="GN2" i="49"/>
  <c r="GO2" i="49"/>
  <c r="GP2" i="49"/>
  <c r="GQ2" i="49"/>
  <c r="GR2" i="49"/>
  <c r="GS2" i="49"/>
  <c r="GT2" i="49"/>
  <c r="GU2" i="49"/>
  <c r="GV2" i="49"/>
  <c r="GW2" i="49"/>
  <c r="GX2" i="49"/>
  <c r="GY2" i="49"/>
  <c r="GZ2" i="49"/>
  <c r="HA2" i="49"/>
  <c r="HB2" i="49"/>
  <c r="HC2" i="49"/>
  <c r="HD2" i="49"/>
  <c r="HE2" i="49"/>
  <c r="HF2" i="49"/>
  <c r="HG2" i="49"/>
  <c r="HH2" i="49"/>
  <c r="HI2" i="49"/>
  <c r="HJ2" i="49"/>
  <c r="HK2" i="49"/>
  <c r="HL2" i="49"/>
  <c r="HM2" i="49"/>
  <c r="HN2" i="49"/>
  <c r="HO2" i="49"/>
  <c r="HP2" i="49"/>
  <c r="HQ2" i="49"/>
  <c r="HR2" i="49"/>
  <c r="HS2" i="49"/>
  <c r="HT2" i="49"/>
  <c r="HU2" i="49"/>
  <c r="HV2" i="49"/>
  <c r="HW2" i="49"/>
  <c r="HX2" i="49"/>
  <c r="HY2" i="49"/>
  <c r="HZ2" i="49"/>
  <c r="IA2" i="49"/>
  <c r="IB2" i="49"/>
  <c r="IC2" i="49"/>
  <c r="ID2" i="49"/>
  <c r="IE2" i="49"/>
  <c r="IF2" i="49"/>
  <c r="IG2" i="49"/>
  <c r="IH2" i="49"/>
  <c r="II2" i="49"/>
  <c r="IJ2" i="49"/>
  <c r="IK2" i="49"/>
  <c r="IL2" i="49"/>
  <c r="IM2" i="49"/>
  <c r="IN2" i="49"/>
  <c r="IO2" i="49"/>
  <c r="IP2" i="49"/>
  <c r="IQ2" i="49"/>
  <c r="IR2" i="49"/>
  <c r="IS2" i="49"/>
  <c r="IT2" i="49"/>
  <c r="IU2" i="49"/>
  <c r="IV2" i="49"/>
  <c r="F3" i="49"/>
  <c r="G3" i="49"/>
  <c r="H3" i="49"/>
  <c r="I3" i="49"/>
  <c r="J3" i="49"/>
  <c r="K3" i="49"/>
  <c r="L3" i="49"/>
  <c r="M3" i="49"/>
  <c r="N3" i="49"/>
  <c r="O3" i="49"/>
  <c r="P3" i="49"/>
  <c r="Q3" i="49"/>
  <c r="R3" i="49"/>
  <c r="S3" i="49"/>
  <c r="T3" i="49"/>
  <c r="U3" i="49"/>
  <c r="V3" i="49"/>
  <c r="W3" i="49"/>
  <c r="X3" i="49"/>
  <c r="Y3" i="49"/>
  <c r="Z3" i="49"/>
  <c r="AA3" i="49"/>
  <c r="AB3" i="49"/>
  <c r="AC3" i="49"/>
  <c r="AD3" i="49"/>
  <c r="AE3" i="49"/>
  <c r="AF3" i="49"/>
  <c r="AG3" i="49"/>
  <c r="AH3" i="49"/>
  <c r="AI3" i="49"/>
  <c r="AJ3" i="49"/>
  <c r="AK3" i="49"/>
  <c r="AL3" i="49"/>
  <c r="AM3" i="49"/>
  <c r="AN3" i="49"/>
  <c r="AO3" i="49"/>
  <c r="AP3" i="49"/>
  <c r="AQ3" i="49"/>
  <c r="AR3" i="49"/>
  <c r="AS3" i="49"/>
  <c r="AT3" i="49"/>
  <c r="AU3" i="49"/>
  <c r="AV3" i="49"/>
  <c r="AW3" i="49"/>
  <c r="AX3" i="49"/>
  <c r="AY3" i="49"/>
  <c r="AZ3" i="49"/>
  <c r="BA3" i="49"/>
  <c r="BB3" i="49"/>
  <c r="BC3" i="49"/>
  <c r="BD3" i="49"/>
  <c r="BE3" i="49"/>
  <c r="BF3" i="49"/>
  <c r="BG3" i="49"/>
  <c r="BH3" i="49"/>
  <c r="BI3" i="49"/>
  <c r="BJ3" i="49"/>
  <c r="BK3" i="49"/>
  <c r="BL3" i="49"/>
  <c r="BM3" i="49"/>
  <c r="BN3" i="49"/>
  <c r="BO3" i="49"/>
  <c r="BP3" i="49"/>
  <c r="BQ3" i="49"/>
  <c r="BR3" i="49"/>
  <c r="BS3" i="49"/>
  <c r="BT3" i="49"/>
  <c r="BU3" i="49"/>
  <c r="BV3" i="49"/>
  <c r="BW3" i="49"/>
  <c r="BX3" i="49"/>
  <c r="BY3" i="49"/>
  <c r="BZ3" i="49"/>
  <c r="CA3" i="49"/>
  <c r="CB3" i="49"/>
  <c r="CC3" i="49"/>
  <c r="CD3" i="49"/>
  <c r="CE3" i="49"/>
  <c r="CF3" i="49"/>
  <c r="CG3" i="49"/>
  <c r="CH3" i="49"/>
  <c r="CI3" i="49"/>
  <c r="CJ3" i="49"/>
  <c r="CK3" i="49"/>
  <c r="CL3" i="49"/>
  <c r="CM3" i="49"/>
  <c r="CN3" i="49"/>
  <c r="CO3" i="49"/>
  <c r="CP3" i="49"/>
  <c r="CQ3" i="49"/>
  <c r="CR3" i="49"/>
  <c r="CS3" i="49"/>
  <c r="CT3" i="49"/>
  <c r="CU3" i="49"/>
  <c r="CV3" i="49"/>
  <c r="CW3" i="49"/>
  <c r="CX3" i="49"/>
  <c r="CY3" i="49"/>
  <c r="CZ3" i="49"/>
  <c r="DA3" i="49"/>
  <c r="DB3" i="49"/>
  <c r="DC3" i="49"/>
  <c r="DD3" i="49"/>
  <c r="DE3" i="49"/>
  <c r="DF3" i="49"/>
  <c r="DG3" i="49"/>
  <c r="DH3" i="49"/>
  <c r="DI3" i="49"/>
  <c r="DJ3" i="49"/>
  <c r="DK3" i="49"/>
  <c r="DL3" i="49"/>
  <c r="DM3" i="49"/>
  <c r="DN3" i="49"/>
  <c r="DO3" i="49"/>
  <c r="DP3" i="49"/>
  <c r="DQ3" i="49"/>
  <c r="DR3" i="49"/>
  <c r="DS3" i="49"/>
  <c r="DT3" i="49"/>
  <c r="DU3" i="49"/>
  <c r="DV3" i="49"/>
  <c r="DW3" i="49"/>
  <c r="DX3" i="49"/>
  <c r="DY3" i="49"/>
  <c r="DZ3" i="49"/>
  <c r="EA3" i="49"/>
  <c r="EB3" i="49"/>
  <c r="EC3" i="49"/>
  <c r="ED3" i="49"/>
  <c r="EE3" i="49"/>
  <c r="EF3" i="49"/>
  <c r="EG3" i="49"/>
  <c r="EH3" i="49"/>
  <c r="EI3" i="49"/>
  <c r="EJ3" i="49"/>
  <c r="EK3" i="49"/>
  <c r="EL3" i="49"/>
  <c r="EM3" i="49"/>
  <c r="EN3" i="49"/>
  <c r="EO3" i="49"/>
  <c r="EP3" i="49"/>
  <c r="EQ3" i="49"/>
  <c r="ER3" i="49"/>
  <c r="ES3" i="49"/>
  <c r="ET3" i="49"/>
  <c r="EU3" i="49"/>
  <c r="EV3" i="49"/>
  <c r="EW3" i="49"/>
  <c r="EX3" i="49"/>
  <c r="EY3" i="49"/>
  <c r="EZ3" i="49"/>
  <c r="FA3" i="49"/>
  <c r="FB3" i="49"/>
  <c r="FC3" i="49"/>
  <c r="FD3" i="49"/>
  <c r="FE3" i="49"/>
  <c r="FF3" i="49"/>
  <c r="FG3" i="49"/>
  <c r="FH3" i="49"/>
  <c r="FI3" i="49"/>
  <c r="FJ3" i="49"/>
  <c r="FK3" i="49"/>
  <c r="FL3" i="49"/>
  <c r="FM3" i="49"/>
  <c r="FN3" i="49"/>
  <c r="FO3" i="49"/>
  <c r="FP3" i="49"/>
  <c r="FQ3" i="49"/>
  <c r="FR3" i="49"/>
  <c r="FS3" i="49"/>
  <c r="FT3" i="49"/>
  <c r="FU3" i="49"/>
  <c r="FV3" i="49"/>
  <c r="FW3" i="49"/>
  <c r="FX3" i="49"/>
  <c r="FY3" i="49"/>
  <c r="FZ3" i="49"/>
  <c r="GA3" i="49"/>
  <c r="GB3" i="49"/>
  <c r="GC3" i="49"/>
  <c r="GD3" i="49"/>
  <c r="GE3" i="49"/>
  <c r="GF3" i="49"/>
  <c r="GG3" i="49"/>
  <c r="GH3" i="49"/>
  <c r="GI3" i="49"/>
  <c r="GJ3" i="49"/>
  <c r="GK3" i="49"/>
  <c r="GL3" i="49"/>
  <c r="GM3" i="49"/>
  <c r="GN3" i="49"/>
  <c r="GO3" i="49"/>
  <c r="GP3" i="49"/>
  <c r="GQ3" i="49"/>
  <c r="GR3" i="49"/>
  <c r="GS3" i="49"/>
  <c r="GT3" i="49"/>
  <c r="GU3" i="49"/>
  <c r="GV3" i="49"/>
  <c r="GW3" i="49"/>
  <c r="GX3" i="49"/>
  <c r="GY3" i="49"/>
  <c r="GZ3" i="49"/>
  <c r="HA3" i="49"/>
  <c r="HB3" i="49"/>
  <c r="HC3" i="49"/>
  <c r="HD3" i="49"/>
  <c r="HE3" i="49"/>
  <c r="HF3" i="49"/>
  <c r="HG3" i="49"/>
  <c r="HH3" i="49"/>
  <c r="HI3" i="49"/>
  <c r="HJ3" i="49"/>
  <c r="HK3" i="49"/>
  <c r="HL3" i="49"/>
  <c r="HM3" i="49"/>
  <c r="HN3" i="49"/>
  <c r="HO3" i="49"/>
  <c r="HP3" i="49"/>
  <c r="HQ3" i="49"/>
  <c r="HR3" i="49"/>
  <c r="HS3" i="49"/>
  <c r="HT3" i="49"/>
  <c r="HU3" i="49"/>
  <c r="HV3" i="49"/>
  <c r="HW3" i="49"/>
  <c r="HX3" i="49"/>
  <c r="HY3" i="49"/>
  <c r="HZ3" i="49"/>
  <c r="IA3" i="49"/>
  <c r="IB3" i="49"/>
  <c r="IC3" i="49"/>
  <c r="ID3" i="49"/>
  <c r="IE3" i="49"/>
  <c r="IF3" i="49"/>
  <c r="IG3" i="49"/>
  <c r="IH3" i="49"/>
  <c r="II3" i="49"/>
  <c r="IJ3" i="49"/>
  <c r="IK3" i="49"/>
  <c r="IL3" i="49"/>
  <c r="IM3" i="49"/>
  <c r="IN3" i="49"/>
  <c r="IO3" i="49"/>
  <c r="IP3" i="49"/>
  <c r="IQ3" i="49"/>
  <c r="IR3" i="49"/>
  <c r="IS3" i="49"/>
  <c r="IT3" i="49"/>
  <c r="IU3" i="49"/>
  <c r="IV3" i="49"/>
  <c r="F4" i="49"/>
  <c r="G4" i="49"/>
  <c r="H4" i="49"/>
  <c r="I4" i="49"/>
  <c r="J4" i="49"/>
  <c r="K4" i="49"/>
  <c r="L4" i="49"/>
  <c r="M4" i="49"/>
  <c r="N4" i="49"/>
  <c r="O4" i="49"/>
  <c r="P4" i="49"/>
  <c r="Q4" i="49"/>
  <c r="R4" i="49"/>
  <c r="S4" i="49"/>
  <c r="T4" i="49"/>
  <c r="U4" i="49"/>
  <c r="V4" i="49"/>
  <c r="W4" i="49"/>
  <c r="X4" i="49"/>
  <c r="Y4" i="49"/>
  <c r="Z4" i="49"/>
  <c r="AA4" i="49"/>
  <c r="AB4" i="49"/>
  <c r="AC4" i="49"/>
  <c r="AD4" i="49"/>
  <c r="AE4" i="49"/>
  <c r="AF4" i="49"/>
  <c r="AG4" i="49"/>
  <c r="AH4" i="49"/>
  <c r="AI4" i="49"/>
  <c r="AJ4" i="49"/>
  <c r="AK4" i="49"/>
  <c r="AL4" i="49"/>
  <c r="AM4" i="49"/>
  <c r="AN4" i="49"/>
  <c r="AO4" i="49"/>
  <c r="AP4" i="49"/>
  <c r="AQ4" i="49"/>
  <c r="AR4" i="49"/>
  <c r="AS4" i="49"/>
  <c r="AT4" i="49"/>
  <c r="AU4" i="49"/>
  <c r="AV4" i="49"/>
  <c r="AW4" i="49"/>
  <c r="AX4" i="49"/>
  <c r="AY4" i="49"/>
  <c r="AZ4" i="49"/>
  <c r="BA4" i="49"/>
  <c r="BB4" i="49"/>
  <c r="BC4" i="49"/>
  <c r="BD4" i="49"/>
  <c r="BE4" i="49"/>
  <c r="BF4" i="49"/>
  <c r="BG4" i="49"/>
  <c r="BH4" i="49"/>
  <c r="BI4" i="49"/>
  <c r="BJ4" i="49"/>
  <c r="BK4" i="49"/>
  <c r="BL4" i="49"/>
  <c r="BM4" i="49"/>
  <c r="BN4" i="49"/>
  <c r="BO4" i="49"/>
  <c r="BP4" i="49"/>
  <c r="BQ4" i="49"/>
  <c r="BR4" i="49"/>
  <c r="BS4" i="49"/>
  <c r="BT4" i="49"/>
  <c r="BU4" i="49"/>
  <c r="BV4" i="49"/>
  <c r="BW4" i="49"/>
  <c r="BX4" i="49"/>
  <c r="BY4" i="49"/>
  <c r="BZ4" i="49"/>
  <c r="CA4" i="49"/>
  <c r="CB4" i="49"/>
  <c r="CC4" i="49"/>
  <c r="CD4" i="49"/>
  <c r="CE4" i="49"/>
  <c r="CF4" i="49"/>
  <c r="CG4" i="49"/>
  <c r="CH4" i="49"/>
  <c r="CI4" i="49"/>
  <c r="CJ4" i="49"/>
  <c r="CK4" i="49"/>
  <c r="CL4" i="49"/>
  <c r="CM4" i="49"/>
  <c r="CN4" i="49"/>
  <c r="CO4" i="49"/>
  <c r="CP4" i="49"/>
  <c r="CQ4" i="49"/>
  <c r="CR4" i="49"/>
  <c r="CS4" i="49"/>
  <c r="CT4" i="49"/>
  <c r="CU4" i="49"/>
  <c r="CV4" i="49"/>
  <c r="CW4" i="49"/>
  <c r="CX4" i="49"/>
  <c r="CY4" i="49"/>
  <c r="CZ4" i="49"/>
  <c r="DA4" i="49"/>
  <c r="DB4" i="49"/>
  <c r="DC4" i="49"/>
  <c r="DD4" i="49"/>
  <c r="DE4" i="49"/>
  <c r="DF4" i="49"/>
  <c r="DG4" i="49"/>
  <c r="DH4" i="49"/>
  <c r="DI4" i="49"/>
  <c r="DJ4" i="49"/>
  <c r="DK4" i="49"/>
  <c r="DL4" i="49"/>
  <c r="DM4" i="49"/>
  <c r="DN4" i="49"/>
  <c r="DO4" i="49"/>
  <c r="DP4" i="49"/>
  <c r="DQ4" i="49"/>
  <c r="DR4" i="49"/>
  <c r="DS4" i="49"/>
  <c r="DT4" i="49"/>
  <c r="DU4" i="49"/>
  <c r="DV4" i="49"/>
  <c r="DW4" i="49"/>
  <c r="DX4" i="49"/>
  <c r="DY4" i="49"/>
  <c r="DZ4" i="49"/>
  <c r="EA4" i="49"/>
  <c r="EB4" i="49"/>
  <c r="EC4" i="49"/>
  <c r="ED4" i="49"/>
  <c r="EE4" i="49"/>
  <c r="EF4" i="49"/>
  <c r="EG4" i="49"/>
  <c r="EH4" i="49"/>
  <c r="EI4" i="49"/>
  <c r="EJ4" i="49"/>
  <c r="EK4" i="49"/>
  <c r="EL4" i="49"/>
  <c r="EM4" i="49"/>
  <c r="EN4" i="49"/>
  <c r="EO4" i="49"/>
  <c r="EP4" i="49"/>
  <c r="EQ4" i="49"/>
  <c r="ER4" i="49"/>
  <c r="ES4" i="49"/>
  <c r="ET4" i="49"/>
  <c r="EU4" i="49"/>
  <c r="EV4" i="49"/>
  <c r="EW4" i="49"/>
  <c r="EX4" i="49"/>
  <c r="EY4" i="49"/>
  <c r="EZ4" i="49"/>
  <c r="FA4" i="49"/>
  <c r="FB4" i="49"/>
  <c r="FC4" i="49"/>
  <c r="FD4" i="49"/>
  <c r="FE4" i="49"/>
  <c r="FF4" i="49"/>
  <c r="FG4" i="49"/>
  <c r="FH4" i="49"/>
  <c r="FI4" i="49"/>
  <c r="FJ4" i="49"/>
  <c r="FK4" i="49"/>
  <c r="FL4" i="49"/>
  <c r="FM4" i="49"/>
  <c r="FN4" i="49"/>
  <c r="FO4" i="49"/>
  <c r="FP4" i="49"/>
  <c r="FQ4" i="49"/>
  <c r="FR4" i="49"/>
  <c r="FS4" i="49"/>
  <c r="FT4" i="49"/>
  <c r="FU4" i="49"/>
  <c r="FV4" i="49"/>
  <c r="FW4" i="49"/>
  <c r="FX4" i="49"/>
  <c r="FY4" i="49"/>
  <c r="FZ4" i="49"/>
  <c r="GA4" i="49"/>
  <c r="GB4" i="49"/>
  <c r="GC4" i="49"/>
  <c r="GD4" i="49"/>
  <c r="GE4" i="49"/>
  <c r="GF4" i="49"/>
  <c r="GG4" i="49"/>
  <c r="GH4" i="49"/>
  <c r="GI4" i="49"/>
  <c r="GJ4" i="49"/>
  <c r="GK4" i="49"/>
  <c r="GL4" i="49"/>
  <c r="GM4" i="49"/>
  <c r="GN4" i="49"/>
  <c r="GO4" i="49"/>
  <c r="GP4" i="49"/>
  <c r="GQ4" i="49"/>
  <c r="GR4" i="49"/>
  <c r="GS4" i="49"/>
  <c r="GT4" i="49"/>
  <c r="GU4" i="49"/>
  <c r="GV4" i="49"/>
  <c r="GW4" i="49"/>
  <c r="GX4" i="49"/>
  <c r="GY4" i="49"/>
  <c r="GZ4" i="49"/>
  <c r="HA4" i="49"/>
  <c r="HB4" i="49"/>
  <c r="HC4" i="49"/>
  <c r="HD4" i="49"/>
  <c r="HE4" i="49"/>
  <c r="HF4" i="49"/>
  <c r="HG4" i="49"/>
  <c r="HH4" i="49"/>
  <c r="HI4" i="49"/>
  <c r="HJ4" i="49"/>
  <c r="HK4" i="49"/>
  <c r="HL4" i="49"/>
  <c r="HM4" i="49"/>
  <c r="HN4" i="49"/>
  <c r="HO4" i="49"/>
  <c r="HP4" i="49"/>
  <c r="HQ4" i="49"/>
  <c r="HR4" i="49"/>
  <c r="HS4" i="49"/>
  <c r="HT4" i="49"/>
  <c r="HU4" i="49"/>
  <c r="HV4" i="49"/>
  <c r="HW4" i="49"/>
  <c r="HX4" i="49"/>
  <c r="HY4" i="49"/>
  <c r="HZ4" i="49"/>
  <c r="IA4" i="49"/>
  <c r="IB4" i="49"/>
  <c r="IC4" i="49"/>
  <c r="ID4" i="49"/>
  <c r="IE4" i="49"/>
  <c r="IF4" i="49"/>
  <c r="IG4" i="49"/>
  <c r="IH4" i="49"/>
  <c r="II4" i="49"/>
  <c r="IJ4" i="49"/>
  <c r="IK4" i="49"/>
  <c r="IL4" i="49"/>
  <c r="IM4" i="49"/>
  <c r="IN4" i="49"/>
  <c r="IO4" i="49"/>
  <c r="IP4" i="49"/>
  <c r="IQ4" i="49"/>
  <c r="IR4" i="49"/>
  <c r="IS4" i="49"/>
  <c r="IT4" i="49"/>
  <c r="IU4" i="49"/>
  <c r="IV4" i="49"/>
  <c r="F5" i="49"/>
  <c r="G5" i="49"/>
  <c r="H5" i="49"/>
  <c r="I5" i="49"/>
  <c r="J5" i="49"/>
  <c r="K5" i="49"/>
  <c r="L5" i="49"/>
  <c r="M5" i="49"/>
  <c r="N5" i="49"/>
  <c r="O5" i="49"/>
  <c r="P5" i="49"/>
  <c r="Q5" i="49"/>
  <c r="R5" i="49"/>
  <c r="S5" i="49"/>
  <c r="T5" i="49"/>
  <c r="U5" i="49"/>
  <c r="V5" i="49"/>
  <c r="W5" i="49"/>
  <c r="X5" i="49"/>
  <c r="Y5" i="49"/>
  <c r="Z5" i="49"/>
  <c r="AA5" i="49"/>
  <c r="AB5" i="49"/>
  <c r="AC5" i="49"/>
  <c r="AD5" i="49"/>
  <c r="AE5" i="49"/>
  <c r="AF5" i="49"/>
  <c r="AG5" i="49"/>
  <c r="AH5" i="49"/>
  <c r="AI5" i="49"/>
  <c r="AJ5" i="49"/>
  <c r="AK5" i="49"/>
  <c r="AL5" i="49"/>
  <c r="AM5" i="49"/>
  <c r="AN5" i="49"/>
  <c r="AO5" i="49"/>
  <c r="AP5" i="49"/>
  <c r="AQ5" i="49"/>
  <c r="AR5" i="49"/>
  <c r="AS5" i="49"/>
  <c r="AT5" i="49"/>
  <c r="AU5" i="49"/>
  <c r="AV5" i="49"/>
  <c r="AW5" i="49"/>
  <c r="AX5" i="49"/>
  <c r="AY5" i="49"/>
  <c r="AZ5" i="49"/>
  <c r="BA5" i="49"/>
  <c r="BB5" i="49"/>
  <c r="BC5" i="49"/>
  <c r="BD5" i="49"/>
  <c r="BE5" i="49"/>
  <c r="BF5" i="49"/>
  <c r="BG5" i="49"/>
  <c r="BH5" i="49"/>
  <c r="BI5" i="49"/>
  <c r="BJ5" i="49"/>
  <c r="BK5" i="49"/>
  <c r="BL5" i="49"/>
  <c r="BM5" i="49"/>
  <c r="BN5" i="49"/>
  <c r="BO5" i="49"/>
  <c r="BP5" i="49"/>
  <c r="BQ5" i="49"/>
  <c r="BR5" i="49"/>
  <c r="BS5" i="49"/>
  <c r="BT5" i="49"/>
  <c r="BU5" i="49"/>
  <c r="BV5" i="49"/>
  <c r="BW5" i="49"/>
  <c r="BX5" i="49"/>
  <c r="BY5" i="49"/>
  <c r="BZ5" i="49"/>
  <c r="CA5" i="49"/>
  <c r="CB5" i="49"/>
  <c r="CC5" i="49"/>
  <c r="CD5" i="49"/>
  <c r="CE5" i="49"/>
  <c r="CF5" i="49"/>
  <c r="CG5" i="49"/>
  <c r="CH5" i="49"/>
  <c r="CI5" i="49"/>
  <c r="CJ5" i="49"/>
  <c r="CK5" i="49"/>
  <c r="CL5" i="49"/>
  <c r="CM5" i="49"/>
  <c r="CN5" i="49"/>
  <c r="CO5" i="49"/>
  <c r="CP5" i="49"/>
  <c r="CQ5" i="49"/>
  <c r="CR5" i="49"/>
  <c r="CS5" i="49"/>
  <c r="CT5" i="49"/>
  <c r="CU5" i="49"/>
  <c r="CV5" i="49"/>
  <c r="CW5" i="49"/>
  <c r="CX5" i="49"/>
  <c r="CY5" i="49"/>
  <c r="CZ5" i="49"/>
  <c r="DA5" i="49"/>
  <c r="DB5" i="49"/>
  <c r="DC5" i="49"/>
  <c r="DD5" i="49"/>
  <c r="DE5" i="49"/>
  <c r="DF5" i="49"/>
  <c r="DG5" i="49"/>
  <c r="DH5" i="49"/>
  <c r="DI5" i="49"/>
  <c r="DJ5" i="49"/>
  <c r="DK5" i="49"/>
  <c r="DL5" i="49"/>
  <c r="DM5" i="49"/>
  <c r="DN5" i="49"/>
  <c r="DO5" i="49"/>
  <c r="DP5" i="49"/>
  <c r="DQ5" i="49"/>
  <c r="DR5" i="49"/>
  <c r="DS5" i="49"/>
  <c r="DT5" i="49"/>
  <c r="DU5" i="49"/>
  <c r="DV5" i="49"/>
  <c r="DW5" i="49"/>
  <c r="DX5" i="49"/>
  <c r="DY5" i="49"/>
  <c r="DZ5" i="49"/>
  <c r="EA5" i="49"/>
  <c r="EB5" i="49"/>
  <c r="EC5" i="49"/>
  <c r="ED5" i="49"/>
  <c r="EE5" i="49"/>
  <c r="EF5" i="49"/>
  <c r="EG5" i="49"/>
  <c r="EH5" i="49"/>
  <c r="EI5" i="49"/>
  <c r="EJ5" i="49"/>
  <c r="EK5" i="49"/>
  <c r="EL5" i="49"/>
  <c r="EM5" i="49"/>
  <c r="EN5" i="49"/>
  <c r="EO5" i="49"/>
  <c r="EP5" i="49"/>
  <c r="EQ5" i="49"/>
  <c r="ER5" i="49"/>
  <c r="ES5" i="49"/>
  <c r="ET5" i="49"/>
  <c r="EU5" i="49"/>
  <c r="EV5" i="49"/>
  <c r="EW5" i="49"/>
  <c r="EX5" i="49"/>
  <c r="EY5" i="49"/>
  <c r="EZ5" i="49"/>
  <c r="FA5" i="49"/>
  <c r="FB5" i="49"/>
  <c r="FC5" i="49"/>
  <c r="FD5" i="49"/>
  <c r="FE5" i="49"/>
  <c r="FF5" i="49"/>
  <c r="FG5" i="49"/>
  <c r="FH5" i="49"/>
  <c r="FI5" i="49"/>
  <c r="FJ5" i="49"/>
  <c r="FK5" i="49"/>
  <c r="FL5" i="49"/>
  <c r="FM5" i="49"/>
  <c r="FN5" i="49"/>
  <c r="FO5" i="49"/>
  <c r="FP5" i="49"/>
  <c r="FQ5" i="49"/>
  <c r="FR5" i="49"/>
  <c r="FS5" i="49"/>
  <c r="FT5" i="49"/>
  <c r="FU5" i="49"/>
  <c r="FV5" i="49"/>
  <c r="FW5" i="49"/>
  <c r="FX5" i="49"/>
  <c r="FY5" i="49"/>
  <c r="FZ5" i="49"/>
  <c r="GA5" i="49"/>
  <c r="GB5" i="49"/>
  <c r="GC5" i="49"/>
  <c r="GD5" i="49"/>
  <c r="GE5" i="49"/>
  <c r="GF5" i="49"/>
  <c r="GG5" i="49"/>
  <c r="GH5" i="49"/>
  <c r="GI5" i="49"/>
  <c r="GJ5" i="49"/>
  <c r="GK5" i="49"/>
  <c r="GL5" i="49"/>
  <c r="GM5" i="49"/>
  <c r="GN5" i="49"/>
  <c r="GO5" i="49"/>
  <c r="GP5" i="49"/>
  <c r="GQ5" i="49"/>
  <c r="GR5" i="49"/>
  <c r="GS5" i="49"/>
  <c r="GT5" i="49"/>
  <c r="GU5" i="49"/>
  <c r="GV5" i="49"/>
  <c r="GW5" i="49"/>
  <c r="GX5" i="49"/>
  <c r="GY5" i="49"/>
  <c r="GZ5" i="49"/>
  <c r="HA5" i="49"/>
  <c r="HB5" i="49"/>
  <c r="HC5" i="49"/>
  <c r="HD5" i="49"/>
  <c r="HE5" i="49"/>
  <c r="HF5" i="49"/>
  <c r="HG5" i="49"/>
  <c r="HH5" i="49"/>
  <c r="HI5" i="49"/>
  <c r="HJ5" i="49"/>
  <c r="HK5" i="49"/>
  <c r="HL5" i="49"/>
  <c r="HM5" i="49"/>
  <c r="HN5" i="49"/>
  <c r="HO5" i="49"/>
  <c r="HP5" i="49"/>
  <c r="HQ5" i="49"/>
  <c r="HR5" i="49"/>
  <c r="HS5" i="49"/>
  <c r="HT5" i="49"/>
  <c r="HU5" i="49"/>
  <c r="HV5" i="49"/>
  <c r="HW5" i="49"/>
  <c r="HX5" i="49"/>
  <c r="HY5" i="49"/>
  <c r="HZ5" i="49"/>
  <c r="IA5" i="49"/>
  <c r="IB5" i="49"/>
  <c r="IC5" i="49"/>
  <c r="ID5" i="49"/>
  <c r="IE5" i="49"/>
  <c r="IF5" i="49"/>
  <c r="IG5" i="49"/>
  <c r="IH5" i="49"/>
  <c r="II5" i="49"/>
  <c r="IJ5" i="49"/>
  <c r="IK5" i="49"/>
  <c r="IL5" i="49"/>
  <c r="IM5" i="49"/>
  <c r="IN5" i="49"/>
  <c r="IO5" i="49"/>
  <c r="IP5" i="49"/>
  <c r="IQ5" i="49"/>
  <c r="IR5" i="49"/>
  <c r="IS5" i="49"/>
  <c r="IT5" i="49"/>
  <c r="IU5" i="49"/>
  <c r="IV5" i="49"/>
  <c r="F6" i="49"/>
  <c r="G6" i="49"/>
  <c r="H6" i="49"/>
  <c r="I6" i="49"/>
  <c r="J6" i="49"/>
  <c r="K6" i="49"/>
  <c r="L6" i="49"/>
  <c r="M6" i="49"/>
  <c r="N6" i="49"/>
  <c r="O6" i="49"/>
  <c r="P6" i="49"/>
  <c r="Q6" i="49"/>
  <c r="R6" i="49"/>
  <c r="S6" i="49"/>
  <c r="T6" i="49"/>
  <c r="U6" i="49"/>
  <c r="V6" i="49"/>
  <c r="W6" i="49"/>
  <c r="X6" i="49"/>
  <c r="Y6" i="49"/>
  <c r="Z6" i="49"/>
  <c r="AA6" i="49"/>
  <c r="AB6" i="49"/>
  <c r="AC6" i="49"/>
  <c r="AD6" i="49"/>
  <c r="AE6" i="49"/>
  <c r="AF6" i="49"/>
  <c r="AG6" i="49"/>
  <c r="AH6" i="49"/>
  <c r="AI6" i="49"/>
  <c r="AJ6" i="49"/>
  <c r="AK6" i="49"/>
  <c r="AL6" i="49"/>
  <c r="AM6" i="49"/>
  <c r="AN6" i="49"/>
  <c r="AO6" i="49"/>
  <c r="AP6" i="49"/>
  <c r="AQ6" i="49"/>
  <c r="AR6" i="49"/>
  <c r="AS6" i="49"/>
  <c r="AT6" i="49"/>
  <c r="AU6" i="49"/>
  <c r="AV6" i="49"/>
  <c r="AW6" i="49"/>
  <c r="AX6" i="49"/>
  <c r="AY6" i="49"/>
  <c r="AZ6" i="49"/>
  <c r="BA6" i="49"/>
  <c r="BB6" i="49"/>
  <c r="BC6" i="49"/>
  <c r="BD6" i="49"/>
  <c r="BE6" i="49"/>
  <c r="BF6" i="49"/>
  <c r="BG6" i="49"/>
  <c r="BH6" i="49"/>
  <c r="BI6" i="49"/>
  <c r="BJ6" i="49"/>
  <c r="BK6" i="49"/>
  <c r="BL6" i="49"/>
  <c r="BM6" i="49"/>
  <c r="BN6" i="49"/>
  <c r="BO6" i="49"/>
  <c r="BP6" i="49"/>
  <c r="BQ6" i="49"/>
  <c r="BR6" i="49"/>
  <c r="BS6" i="49"/>
  <c r="BT6" i="49"/>
  <c r="BU6" i="49"/>
  <c r="BV6" i="49"/>
  <c r="BW6" i="49"/>
  <c r="BX6" i="49"/>
  <c r="BY6" i="49"/>
  <c r="BZ6" i="49"/>
  <c r="CA6" i="49"/>
  <c r="CB6" i="49"/>
  <c r="CC6" i="49"/>
  <c r="CD6" i="49"/>
  <c r="CE6" i="49"/>
  <c r="CF6" i="49"/>
  <c r="CG6" i="49"/>
  <c r="CH6" i="49"/>
  <c r="CI6" i="49"/>
  <c r="CJ6" i="49"/>
  <c r="CK6" i="49"/>
  <c r="CL6" i="49"/>
  <c r="CM6" i="49"/>
  <c r="CN6" i="49"/>
  <c r="CO6" i="49"/>
  <c r="CP6" i="49"/>
  <c r="CQ6" i="49"/>
  <c r="CR6" i="49"/>
  <c r="CS6" i="49"/>
  <c r="CT6" i="49"/>
  <c r="CU6" i="49"/>
  <c r="CV6" i="49"/>
  <c r="CW6" i="49"/>
  <c r="CX6" i="49"/>
  <c r="CY6" i="49"/>
  <c r="CZ6" i="49"/>
  <c r="DA6" i="49"/>
  <c r="DB6" i="49"/>
  <c r="DC6" i="49"/>
  <c r="DD6" i="49"/>
  <c r="DE6" i="49"/>
  <c r="DF6" i="49"/>
  <c r="DG6" i="49"/>
  <c r="DH6" i="49"/>
  <c r="DI6" i="49"/>
  <c r="DJ6" i="49"/>
  <c r="DK6" i="49"/>
  <c r="DL6" i="49"/>
  <c r="DM6" i="49"/>
  <c r="DN6" i="49"/>
  <c r="DO6" i="49"/>
  <c r="DP6" i="49"/>
  <c r="DQ6" i="49"/>
  <c r="DR6" i="49"/>
  <c r="DS6" i="49"/>
  <c r="DT6" i="49"/>
  <c r="DU6" i="49"/>
  <c r="DV6" i="49"/>
  <c r="DW6" i="49"/>
  <c r="DX6" i="49"/>
  <c r="DY6" i="49"/>
  <c r="DZ6" i="49"/>
  <c r="EA6" i="49"/>
  <c r="EB6" i="49"/>
  <c r="EC6" i="49"/>
  <c r="ED6" i="49"/>
  <c r="EE6" i="49"/>
  <c r="EF6" i="49"/>
  <c r="EG6" i="49"/>
  <c r="EH6" i="49"/>
  <c r="EI6" i="49"/>
  <c r="EJ6" i="49"/>
  <c r="EK6" i="49"/>
  <c r="EL6" i="49"/>
  <c r="EM6" i="49"/>
  <c r="EN6" i="49"/>
  <c r="EO6" i="49"/>
  <c r="EP6" i="49"/>
  <c r="EQ6" i="49"/>
  <c r="ER6" i="49"/>
  <c r="ES6" i="49"/>
  <c r="ET6" i="49"/>
  <c r="EU6" i="49"/>
  <c r="EV6" i="49"/>
  <c r="EW6" i="49"/>
  <c r="EX6" i="49"/>
  <c r="EY6" i="49"/>
  <c r="EZ6" i="49"/>
  <c r="FA6" i="49"/>
  <c r="FB6" i="49"/>
  <c r="FC6" i="49"/>
  <c r="FD6" i="49"/>
  <c r="FE6" i="49"/>
  <c r="FF6" i="49"/>
  <c r="FG6" i="49"/>
  <c r="FH6" i="49"/>
  <c r="FI6" i="49"/>
  <c r="FJ6" i="49"/>
  <c r="FK6" i="49"/>
  <c r="FL6" i="49"/>
  <c r="FM6" i="49"/>
  <c r="FN6" i="49"/>
  <c r="FO6" i="49"/>
  <c r="FP6" i="49"/>
  <c r="FQ6" i="49"/>
  <c r="FR6" i="49"/>
  <c r="FS6" i="49"/>
  <c r="FT6" i="49"/>
  <c r="FU6" i="49"/>
  <c r="FV6" i="49"/>
  <c r="FW6" i="49"/>
  <c r="FX6" i="49"/>
  <c r="FY6" i="49"/>
  <c r="FZ6" i="49"/>
  <c r="GA6" i="49"/>
  <c r="GB6" i="49"/>
  <c r="GC6" i="49"/>
  <c r="GD6" i="49"/>
  <c r="GE6" i="49"/>
  <c r="GF6" i="49"/>
  <c r="GG6" i="49"/>
  <c r="GH6" i="49"/>
  <c r="GI6" i="49"/>
  <c r="GJ6" i="49"/>
  <c r="GK6" i="49"/>
  <c r="GL6" i="49"/>
  <c r="GM6" i="49"/>
  <c r="GN6" i="49"/>
  <c r="GO6" i="49"/>
  <c r="GP6" i="49"/>
  <c r="GQ6" i="49"/>
  <c r="GR6" i="49"/>
  <c r="GS6" i="49"/>
  <c r="GT6" i="49"/>
  <c r="GU6" i="49"/>
  <c r="GV6" i="49"/>
  <c r="GW6" i="49"/>
  <c r="GX6" i="49"/>
  <c r="GY6" i="49"/>
  <c r="GZ6" i="49"/>
  <c r="HA6" i="49"/>
  <c r="HB6" i="49"/>
  <c r="HC6" i="49"/>
  <c r="HD6" i="49"/>
  <c r="HE6" i="49"/>
  <c r="HF6" i="49"/>
  <c r="HG6" i="49"/>
  <c r="HH6" i="49"/>
  <c r="HI6" i="49"/>
  <c r="HJ6" i="49"/>
  <c r="HK6" i="49"/>
  <c r="HL6" i="49"/>
  <c r="HM6" i="49"/>
  <c r="HN6" i="49"/>
  <c r="HO6" i="49"/>
  <c r="HP6" i="49"/>
  <c r="HQ6" i="49"/>
  <c r="HR6" i="49"/>
  <c r="HS6" i="49"/>
  <c r="HT6" i="49"/>
  <c r="HU6" i="49"/>
  <c r="HV6" i="49"/>
  <c r="HW6" i="49"/>
  <c r="HX6" i="49"/>
  <c r="HY6" i="49"/>
  <c r="HZ6" i="49"/>
  <c r="IA6" i="49"/>
  <c r="IB6" i="49"/>
  <c r="IC6" i="49"/>
  <c r="ID6" i="49"/>
  <c r="IE6" i="49"/>
  <c r="IF6" i="49"/>
  <c r="IG6" i="49"/>
  <c r="IH6" i="49"/>
  <c r="II6" i="49"/>
  <c r="IJ6" i="49"/>
  <c r="IK6" i="49"/>
  <c r="IL6" i="49"/>
  <c r="IM6" i="49"/>
  <c r="IN6" i="49"/>
  <c r="IO6" i="49"/>
  <c r="IP6" i="49"/>
  <c r="IQ6" i="49"/>
  <c r="IR6" i="49"/>
  <c r="IS6" i="49"/>
  <c r="IT6" i="49"/>
  <c r="IU6" i="49"/>
  <c r="IV6" i="49"/>
  <c r="F7" i="49"/>
  <c r="G7" i="49"/>
  <c r="H7" i="49"/>
  <c r="I7" i="49"/>
  <c r="J7" i="49"/>
  <c r="K7" i="49"/>
  <c r="L7" i="49"/>
  <c r="M7" i="49"/>
  <c r="N7" i="49"/>
  <c r="O7" i="49"/>
  <c r="P7" i="49"/>
  <c r="Q7" i="49"/>
  <c r="R7" i="49"/>
  <c r="S7" i="49"/>
  <c r="T7" i="49"/>
  <c r="U7" i="49"/>
  <c r="V7" i="49"/>
  <c r="W7" i="49"/>
  <c r="X7" i="49"/>
  <c r="Y7" i="49"/>
  <c r="Z7" i="49"/>
  <c r="AA7" i="49"/>
  <c r="AB7" i="49"/>
  <c r="AC7" i="49"/>
  <c r="AD7" i="49"/>
  <c r="AE7" i="49"/>
  <c r="AF7" i="49"/>
  <c r="AG7" i="49"/>
  <c r="AH7" i="49"/>
  <c r="AI7" i="49"/>
  <c r="AJ7" i="49"/>
  <c r="AK7" i="49"/>
  <c r="AL7" i="49"/>
  <c r="AM7" i="49"/>
  <c r="AN7" i="49"/>
  <c r="AO7" i="49"/>
  <c r="AP7" i="49"/>
  <c r="AQ7" i="49"/>
  <c r="AR7" i="49"/>
  <c r="AS7" i="49"/>
  <c r="AT7" i="49"/>
  <c r="AU7" i="49"/>
  <c r="AV7" i="49"/>
  <c r="AW7" i="49"/>
  <c r="AX7" i="49"/>
  <c r="AY7" i="49"/>
  <c r="AZ7" i="49"/>
  <c r="BA7" i="49"/>
  <c r="BB7" i="49"/>
  <c r="BC7" i="49"/>
  <c r="BD7" i="49"/>
  <c r="BE7" i="49"/>
  <c r="BF7" i="49"/>
  <c r="BG7" i="49"/>
  <c r="BH7" i="49"/>
  <c r="BI7" i="49"/>
  <c r="BJ7" i="49"/>
  <c r="BK7" i="49"/>
  <c r="BL7" i="49"/>
  <c r="BM7" i="49"/>
  <c r="BN7" i="49"/>
  <c r="BO7" i="49"/>
  <c r="BP7" i="49"/>
  <c r="BQ7" i="49"/>
  <c r="BR7" i="49"/>
  <c r="BS7" i="49"/>
  <c r="BT7" i="49"/>
  <c r="BU7" i="49"/>
  <c r="BV7" i="49"/>
  <c r="BW7" i="49"/>
  <c r="BX7" i="49"/>
  <c r="BY7" i="49"/>
  <c r="BZ7" i="49"/>
  <c r="CA7" i="49"/>
  <c r="CB7" i="49"/>
  <c r="CC7" i="49"/>
  <c r="CD7" i="49"/>
  <c r="CE7" i="49"/>
  <c r="CF7" i="49"/>
  <c r="CG7" i="49"/>
  <c r="CH7" i="49"/>
  <c r="CI7" i="49"/>
  <c r="CJ7" i="49"/>
  <c r="CK7" i="49"/>
  <c r="CL7" i="49"/>
  <c r="CM7" i="49"/>
  <c r="CN7" i="49"/>
  <c r="CO7" i="49"/>
  <c r="CP7" i="49"/>
  <c r="CQ7" i="49"/>
  <c r="CR7" i="49"/>
  <c r="CS7" i="49"/>
  <c r="CT7" i="49"/>
  <c r="CU7" i="49"/>
  <c r="CV7" i="49"/>
  <c r="CW7" i="49"/>
  <c r="CX7" i="49"/>
  <c r="CY7" i="49"/>
  <c r="CZ7" i="49"/>
  <c r="DA7" i="49"/>
  <c r="DB7" i="49"/>
  <c r="DC7" i="49"/>
  <c r="DD7" i="49"/>
  <c r="DE7" i="49"/>
  <c r="DF7" i="49"/>
  <c r="DG7" i="49"/>
  <c r="DH7" i="49"/>
  <c r="DI7" i="49"/>
  <c r="DJ7" i="49"/>
  <c r="DK7" i="49"/>
  <c r="DL7" i="49"/>
  <c r="DM7" i="49"/>
  <c r="DN7" i="49"/>
  <c r="DO7" i="49"/>
  <c r="DP7" i="49"/>
  <c r="DQ7" i="49"/>
  <c r="DR7" i="49"/>
  <c r="DS7" i="49"/>
  <c r="DT7" i="49"/>
  <c r="DU7" i="49"/>
  <c r="DV7" i="49"/>
  <c r="DW7" i="49"/>
  <c r="DX7" i="49"/>
  <c r="DY7" i="49"/>
  <c r="DZ7" i="49"/>
  <c r="EA7" i="49"/>
  <c r="EB7" i="49"/>
  <c r="EC7" i="49"/>
  <c r="ED7" i="49"/>
  <c r="EE7" i="49"/>
  <c r="EF7" i="49"/>
  <c r="EG7" i="49"/>
  <c r="EH7" i="49"/>
  <c r="EI7" i="49"/>
  <c r="EJ7" i="49"/>
  <c r="EK7" i="49"/>
  <c r="EL7" i="49"/>
  <c r="EM7" i="49"/>
  <c r="EN7" i="49"/>
  <c r="EO7" i="49"/>
  <c r="EP7" i="49"/>
  <c r="EQ7" i="49"/>
  <c r="ER7" i="49"/>
  <c r="ES7" i="49"/>
  <c r="ET7" i="49"/>
  <c r="EU7" i="49"/>
  <c r="EV7" i="49"/>
  <c r="EW7" i="49"/>
  <c r="EX7" i="49"/>
  <c r="EY7" i="49"/>
  <c r="EZ7" i="49"/>
  <c r="FA7" i="49"/>
  <c r="FB7" i="49"/>
  <c r="FC7" i="49"/>
  <c r="FD7" i="49"/>
  <c r="FE7" i="49"/>
  <c r="FF7" i="49"/>
  <c r="FG7" i="49"/>
  <c r="FH7" i="49"/>
  <c r="FI7" i="49"/>
  <c r="FJ7" i="49"/>
  <c r="FK7" i="49"/>
  <c r="FL7" i="49"/>
  <c r="FM7" i="49"/>
  <c r="FN7" i="49"/>
  <c r="FO7" i="49"/>
  <c r="FP7" i="49"/>
  <c r="FQ7" i="49"/>
  <c r="FR7" i="49"/>
  <c r="FS7" i="49"/>
  <c r="FT7" i="49"/>
  <c r="FU7" i="49"/>
  <c r="FV7" i="49"/>
  <c r="FW7" i="49"/>
  <c r="FX7" i="49"/>
  <c r="FY7" i="49"/>
  <c r="FZ7" i="49"/>
  <c r="GA7" i="49"/>
  <c r="GB7" i="49"/>
  <c r="GC7" i="49"/>
  <c r="GD7" i="49"/>
  <c r="GE7" i="49"/>
  <c r="GF7" i="49"/>
  <c r="GG7" i="49"/>
  <c r="GH7" i="49"/>
  <c r="GI7" i="49"/>
  <c r="GJ7" i="49"/>
  <c r="GK7" i="49"/>
  <c r="GL7" i="49"/>
  <c r="GM7" i="49"/>
  <c r="GN7" i="49"/>
  <c r="GO7" i="49"/>
  <c r="GP7" i="49"/>
  <c r="GQ7" i="49"/>
  <c r="GR7" i="49"/>
  <c r="GS7" i="49"/>
  <c r="GT7" i="49"/>
  <c r="GU7" i="49"/>
  <c r="GV7" i="49"/>
  <c r="GW7" i="49"/>
  <c r="GX7" i="49"/>
  <c r="GY7" i="49"/>
  <c r="GZ7" i="49"/>
  <c r="HA7" i="49"/>
  <c r="HB7" i="49"/>
  <c r="HC7" i="49"/>
  <c r="HD7" i="49"/>
  <c r="HE7" i="49"/>
  <c r="HF7" i="49"/>
  <c r="HG7" i="49"/>
  <c r="HH7" i="49"/>
  <c r="HI7" i="49"/>
  <c r="HJ7" i="49"/>
  <c r="HK7" i="49"/>
  <c r="HL7" i="49"/>
  <c r="HM7" i="49"/>
  <c r="HN7" i="49"/>
  <c r="HO7" i="49"/>
  <c r="HP7" i="49"/>
  <c r="HQ7" i="49"/>
  <c r="HR7" i="49"/>
  <c r="HS7" i="49"/>
  <c r="HT7" i="49"/>
  <c r="HU7" i="49"/>
  <c r="HV7" i="49"/>
  <c r="HW7" i="49"/>
  <c r="HX7" i="49"/>
  <c r="HY7" i="49"/>
  <c r="HZ7" i="49"/>
  <c r="IA7" i="49"/>
  <c r="IB7" i="49"/>
  <c r="IC7" i="49"/>
  <c r="ID7" i="49"/>
  <c r="IE7" i="49"/>
  <c r="IF7" i="49"/>
  <c r="IG7" i="49"/>
  <c r="IH7" i="49"/>
  <c r="II7" i="49"/>
  <c r="IJ7" i="49"/>
  <c r="IK7" i="49"/>
  <c r="IL7" i="49"/>
  <c r="IM7" i="49"/>
  <c r="IN7" i="49"/>
  <c r="IO7" i="49"/>
  <c r="IP7" i="49"/>
  <c r="IQ7" i="49"/>
  <c r="IR7" i="49"/>
  <c r="IS7" i="49"/>
  <c r="IT7" i="49"/>
  <c r="IU7" i="49"/>
  <c r="IV7" i="49"/>
  <c r="F8" i="49"/>
  <c r="G8" i="49"/>
  <c r="H8" i="49"/>
  <c r="I8" i="49"/>
  <c r="J8" i="49"/>
  <c r="K8" i="49"/>
  <c r="L8" i="49"/>
  <c r="M8" i="49"/>
  <c r="N8" i="49"/>
  <c r="O8" i="49"/>
  <c r="P8" i="49"/>
  <c r="Q8" i="49"/>
  <c r="R8" i="49"/>
  <c r="S8" i="49"/>
  <c r="T8" i="49"/>
  <c r="U8" i="49"/>
  <c r="V8" i="49"/>
  <c r="W8" i="49"/>
  <c r="X8" i="49"/>
  <c r="Y8" i="49"/>
  <c r="Z8" i="49"/>
  <c r="AA8" i="49"/>
  <c r="AB8" i="49"/>
  <c r="AC8" i="49"/>
  <c r="AD8" i="49"/>
  <c r="AE8" i="49"/>
  <c r="AF8" i="49"/>
  <c r="AG8" i="49"/>
  <c r="AH8" i="49"/>
  <c r="AI8" i="49"/>
  <c r="AJ8" i="49"/>
  <c r="AK8" i="49"/>
  <c r="AL8" i="49"/>
  <c r="AM8" i="49"/>
  <c r="AN8" i="49"/>
  <c r="AO8" i="49"/>
  <c r="AP8" i="49"/>
  <c r="AQ8" i="49"/>
  <c r="AR8" i="49"/>
  <c r="AS8" i="49"/>
  <c r="AT8" i="49"/>
  <c r="AU8" i="49"/>
  <c r="AV8" i="49"/>
  <c r="AW8" i="49"/>
  <c r="AX8" i="49"/>
  <c r="AY8" i="49"/>
  <c r="AZ8" i="49"/>
  <c r="BA8" i="49"/>
  <c r="BB8" i="49"/>
  <c r="BC8" i="49"/>
  <c r="BD8" i="49"/>
  <c r="BE8" i="49"/>
  <c r="BF8" i="49"/>
  <c r="BG8" i="49"/>
  <c r="BH8" i="49"/>
  <c r="BI8" i="49"/>
  <c r="BJ8" i="49"/>
  <c r="BK8" i="49"/>
  <c r="BL8" i="49"/>
  <c r="BM8" i="49"/>
  <c r="BN8" i="49"/>
  <c r="BO8" i="49"/>
  <c r="BP8" i="49"/>
  <c r="BQ8" i="49"/>
  <c r="BR8" i="49"/>
  <c r="BS8" i="49"/>
  <c r="BT8" i="49"/>
  <c r="BU8" i="49"/>
  <c r="BV8" i="49"/>
  <c r="BW8" i="49"/>
  <c r="BX8" i="49"/>
  <c r="BY8" i="49"/>
  <c r="BZ8" i="49"/>
  <c r="CA8" i="49"/>
  <c r="CB8" i="49"/>
  <c r="CC8" i="49"/>
  <c r="CD8" i="49"/>
  <c r="CE8" i="49"/>
  <c r="CF8" i="49"/>
  <c r="CG8" i="49"/>
  <c r="CH8" i="49"/>
  <c r="CI8" i="49"/>
  <c r="CJ8" i="49"/>
  <c r="CK8" i="49"/>
  <c r="CL8" i="49"/>
  <c r="CM8" i="49"/>
  <c r="CN8" i="49"/>
  <c r="CO8" i="49"/>
  <c r="CP8" i="49"/>
  <c r="CQ8" i="49"/>
  <c r="CR8" i="49"/>
  <c r="CS8" i="49"/>
  <c r="CT8" i="49"/>
  <c r="CU8" i="49"/>
  <c r="CV8" i="49"/>
  <c r="CW8" i="49"/>
  <c r="CX8" i="49"/>
  <c r="CY8" i="49"/>
  <c r="CZ8" i="49"/>
  <c r="DA8" i="49"/>
  <c r="DB8" i="49"/>
  <c r="DC8" i="49"/>
  <c r="DD8" i="49"/>
  <c r="DE8" i="49"/>
  <c r="DF8" i="49"/>
  <c r="DG8" i="49"/>
  <c r="DH8" i="49"/>
  <c r="DI8" i="49"/>
  <c r="DJ8" i="49"/>
  <c r="DK8" i="49"/>
  <c r="DL8" i="49"/>
  <c r="DM8" i="49"/>
  <c r="DN8" i="49"/>
  <c r="DO8" i="49"/>
  <c r="DP8" i="49"/>
  <c r="DQ8" i="49"/>
  <c r="DR8" i="49"/>
  <c r="DS8" i="49"/>
  <c r="DT8" i="49"/>
  <c r="DU8" i="49"/>
  <c r="DV8" i="49"/>
  <c r="DW8" i="49"/>
  <c r="DX8" i="49"/>
  <c r="DY8" i="49"/>
  <c r="DZ8" i="49"/>
  <c r="EA8" i="49"/>
  <c r="EB8" i="49"/>
  <c r="EC8" i="49"/>
  <c r="ED8" i="49"/>
  <c r="EE8" i="49"/>
  <c r="EF8" i="49"/>
  <c r="EG8" i="49"/>
  <c r="EH8" i="49"/>
  <c r="EI8" i="49"/>
  <c r="EJ8" i="49"/>
  <c r="EK8" i="49"/>
  <c r="EL8" i="49"/>
  <c r="EM8" i="49"/>
  <c r="EN8" i="49"/>
  <c r="EO8" i="49"/>
  <c r="EP8" i="49"/>
  <c r="EQ8" i="49"/>
  <c r="ER8" i="49"/>
  <c r="ES8" i="49"/>
  <c r="ET8" i="49"/>
  <c r="EU8" i="49"/>
  <c r="EV8" i="49"/>
  <c r="EW8" i="49"/>
  <c r="EX8" i="49"/>
  <c r="EY8" i="49"/>
  <c r="EZ8" i="49"/>
  <c r="FA8" i="49"/>
  <c r="FB8" i="49"/>
  <c r="FC8" i="49"/>
  <c r="FD8" i="49"/>
  <c r="FE8" i="49"/>
  <c r="FF8" i="49"/>
  <c r="FG8" i="49"/>
  <c r="FH8" i="49"/>
  <c r="FI8" i="49"/>
  <c r="FJ8" i="49"/>
  <c r="FK8" i="49"/>
  <c r="FL8" i="49"/>
  <c r="FM8" i="49"/>
  <c r="FN8" i="49"/>
  <c r="FO8" i="49"/>
  <c r="FP8" i="49"/>
  <c r="FQ8" i="49"/>
  <c r="FR8" i="49"/>
  <c r="FS8" i="49"/>
  <c r="FT8" i="49"/>
  <c r="FU8" i="49"/>
  <c r="FV8" i="49"/>
  <c r="FW8" i="49"/>
  <c r="FX8" i="49"/>
  <c r="FY8" i="49"/>
  <c r="FZ8" i="49"/>
  <c r="GA8" i="49"/>
  <c r="GB8" i="49"/>
  <c r="GC8" i="49"/>
  <c r="GD8" i="49"/>
  <c r="GE8" i="49"/>
  <c r="GF8" i="49"/>
  <c r="GG8" i="49"/>
  <c r="GH8" i="49"/>
  <c r="GI8" i="49"/>
  <c r="GJ8" i="49"/>
  <c r="GK8" i="49"/>
  <c r="GL8" i="49"/>
  <c r="GM8" i="49"/>
  <c r="GN8" i="49"/>
  <c r="GO8" i="49"/>
  <c r="GP8" i="49"/>
  <c r="GQ8" i="49"/>
  <c r="GR8" i="49"/>
  <c r="GS8" i="49"/>
  <c r="GT8" i="49"/>
  <c r="GU8" i="49"/>
  <c r="GV8" i="49"/>
  <c r="GW8" i="49"/>
  <c r="GX8" i="49"/>
  <c r="GY8" i="49"/>
  <c r="GZ8" i="49"/>
  <c r="HA8" i="49"/>
  <c r="HB8" i="49"/>
  <c r="HC8" i="49"/>
  <c r="HD8" i="49"/>
  <c r="HE8" i="49"/>
  <c r="HF8" i="49"/>
  <c r="HG8" i="49"/>
  <c r="HH8" i="49"/>
  <c r="HI8" i="49"/>
  <c r="HJ8" i="49"/>
  <c r="HK8" i="49"/>
  <c r="HL8" i="49"/>
  <c r="HM8" i="49"/>
  <c r="HN8" i="49"/>
  <c r="HO8" i="49"/>
  <c r="HP8" i="49"/>
  <c r="HQ8" i="49"/>
  <c r="HR8" i="49"/>
  <c r="HS8" i="49"/>
  <c r="HT8" i="49"/>
  <c r="HU8" i="49"/>
  <c r="HV8" i="49"/>
  <c r="HW8" i="49"/>
  <c r="HX8" i="49"/>
  <c r="HY8" i="49"/>
  <c r="HZ8" i="49"/>
  <c r="IA8" i="49"/>
  <c r="IB8" i="49"/>
  <c r="IC8" i="49"/>
  <c r="ID8" i="49"/>
  <c r="IE8" i="49"/>
  <c r="IF8" i="49"/>
  <c r="IG8" i="49"/>
  <c r="IH8" i="49"/>
  <c r="II8" i="49"/>
  <c r="IJ8" i="49"/>
  <c r="IK8" i="49"/>
  <c r="IL8" i="49"/>
  <c r="IM8" i="49"/>
  <c r="IN8" i="49"/>
  <c r="IO8" i="49"/>
  <c r="IP8" i="49"/>
  <c r="IQ8" i="49"/>
  <c r="IR8" i="49"/>
  <c r="IS8" i="49"/>
  <c r="IT8" i="49"/>
  <c r="IU8" i="49"/>
  <c r="IV8" i="49"/>
  <c r="F9" i="49"/>
  <c r="G9" i="49"/>
  <c r="H9" i="49"/>
  <c r="I9" i="49"/>
  <c r="J9" i="49"/>
  <c r="K9" i="49"/>
  <c r="L9" i="49"/>
  <c r="M9" i="49"/>
  <c r="N9" i="49"/>
  <c r="O9" i="49"/>
  <c r="P9" i="49"/>
  <c r="Q9" i="49"/>
  <c r="R9" i="49"/>
  <c r="S9" i="49"/>
  <c r="T9" i="49"/>
  <c r="U9" i="49"/>
  <c r="V9" i="49"/>
  <c r="W9" i="49"/>
  <c r="X9" i="49"/>
  <c r="Y9" i="49"/>
  <c r="Z9" i="49"/>
  <c r="AA9" i="49"/>
  <c r="AB9" i="49"/>
  <c r="AC9" i="49"/>
  <c r="AD9" i="49"/>
  <c r="AE9" i="49"/>
  <c r="AF9" i="49"/>
  <c r="AG9" i="49"/>
  <c r="AH9" i="49"/>
  <c r="AI9" i="49"/>
  <c r="AJ9" i="49"/>
  <c r="AK9" i="49"/>
  <c r="AL9" i="49"/>
  <c r="AM9" i="49"/>
  <c r="AN9" i="49"/>
  <c r="AO9" i="49"/>
  <c r="AP9" i="49"/>
  <c r="AQ9" i="49"/>
  <c r="AR9" i="49"/>
  <c r="AS9" i="49"/>
  <c r="AT9" i="49"/>
  <c r="AU9" i="49"/>
  <c r="AV9" i="49"/>
  <c r="AW9" i="49"/>
  <c r="AX9" i="49"/>
  <c r="AY9" i="49"/>
  <c r="AZ9" i="49"/>
  <c r="BA9" i="49"/>
  <c r="BB9" i="49"/>
  <c r="BC9" i="49"/>
  <c r="BD9" i="49"/>
  <c r="BE9" i="49"/>
  <c r="BF9" i="49"/>
  <c r="BG9" i="49"/>
  <c r="BH9" i="49"/>
  <c r="BI9" i="49"/>
  <c r="BJ9" i="49"/>
  <c r="BK9" i="49"/>
  <c r="BL9" i="49"/>
  <c r="BM9" i="49"/>
  <c r="BN9" i="49"/>
  <c r="BO9" i="49"/>
  <c r="BP9" i="49"/>
  <c r="BQ9" i="49"/>
  <c r="BR9" i="49"/>
  <c r="BS9" i="49"/>
  <c r="BT9" i="49"/>
  <c r="BU9" i="49"/>
  <c r="BV9" i="49"/>
  <c r="BW9" i="49"/>
  <c r="BX9" i="49"/>
  <c r="BY9" i="49"/>
  <c r="BZ9" i="49"/>
  <c r="CA9" i="49"/>
  <c r="CB9" i="49"/>
  <c r="CC9" i="49"/>
  <c r="CD9" i="49"/>
  <c r="CE9" i="49"/>
  <c r="CF9" i="49"/>
  <c r="CG9" i="49"/>
  <c r="CH9" i="49"/>
  <c r="CI9" i="49"/>
  <c r="CJ9" i="49"/>
  <c r="CK9" i="49"/>
  <c r="CL9" i="49"/>
  <c r="CM9" i="49"/>
  <c r="CN9" i="49"/>
  <c r="CO9" i="49"/>
  <c r="CP9" i="49"/>
  <c r="CQ9" i="49"/>
  <c r="CR9" i="49"/>
  <c r="CS9" i="49"/>
  <c r="CT9" i="49"/>
  <c r="CU9" i="49"/>
  <c r="CV9" i="49"/>
  <c r="CW9" i="49"/>
  <c r="CX9" i="49"/>
  <c r="CY9" i="49"/>
  <c r="CZ9" i="49"/>
  <c r="DA9" i="49"/>
  <c r="DB9" i="49"/>
  <c r="DC9" i="49"/>
  <c r="DD9" i="49"/>
  <c r="DE9" i="49"/>
  <c r="DF9" i="49"/>
  <c r="DG9" i="49"/>
  <c r="DH9" i="49"/>
  <c r="DI9" i="49"/>
  <c r="DJ9" i="49"/>
  <c r="DK9" i="49"/>
  <c r="DL9" i="49"/>
  <c r="DM9" i="49"/>
  <c r="DN9" i="49"/>
  <c r="DO9" i="49"/>
  <c r="DP9" i="49"/>
  <c r="DQ9" i="49"/>
  <c r="DR9" i="49"/>
  <c r="DS9" i="49"/>
  <c r="DT9" i="49"/>
  <c r="DU9" i="49"/>
  <c r="DV9" i="49"/>
  <c r="DW9" i="49"/>
  <c r="DX9" i="49"/>
  <c r="DY9" i="49"/>
  <c r="DZ9" i="49"/>
  <c r="EA9" i="49"/>
  <c r="EB9" i="49"/>
  <c r="EC9" i="49"/>
  <c r="ED9" i="49"/>
  <c r="EE9" i="49"/>
  <c r="EF9" i="49"/>
  <c r="EG9" i="49"/>
  <c r="EH9" i="49"/>
  <c r="EI9" i="49"/>
  <c r="EJ9" i="49"/>
  <c r="EK9" i="49"/>
  <c r="EL9" i="49"/>
  <c r="EM9" i="49"/>
  <c r="EN9" i="49"/>
  <c r="EO9" i="49"/>
  <c r="EP9" i="49"/>
  <c r="EQ9" i="49"/>
  <c r="ER9" i="49"/>
  <c r="ES9" i="49"/>
  <c r="ET9" i="49"/>
  <c r="EU9" i="49"/>
  <c r="EV9" i="49"/>
  <c r="EW9" i="49"/>
  <c r="EX9" i="49"/>
  <c r="EY9" i="49"/>
  <c r="EZ9" i="49"/>
  <c r="FA9" i="49"/>
  <c r="FB9" i="49"/>
  <c r="FC9" i="49"/>
  <c r="FD9" i="49"/>
  <c r="FE9" i="49"/>
  <c r="FF9" i="49"/>
  <c r="FG9" i="49"/>
  <c r="FH9" i="49"/>
  <c r="FI9" i="49"/>
  <c r="FJ9" i="49"/>
  <c r="FK9" i="49"/>
  <c r="FL9" i="49"/>
  <c r="FM9" i="49"/>
  <c r="FN9" i="49"/>
  <c r="FO9" i="49"/>
  <c r="FP9" i="49"/>
  <c r="FQ9" i="49"/>
  <c r="FR9" i="49"/>
  <c r="FS9" i="49"/>
  <c r="FT9" i="49"/>
  <c r="FU9" i="49"/>
  <c r="FV9" i="49"/>
  <c r="FW9" i="49"/>
  <c r="FX9" i="49"/>
  <c r="FY9" i="49"/>
  <c r="FZ9" i="49"/>
  <c r="GA9" i="49"/>
  <c r="GB9" i="49"/>
  <c r="GC9" i="49"/>
  <c r="GD9" i="49"/>
  <c r="GE9" i="49"/>
  <c r="GF9" i="49"/>
  <c r="GG9" i="49"/>
  <c r="GH9" i="49"/>
  <c r="GI9" i="49"/>
  <c r="GJ9" i="49"/>
  <c r="GK9" i="49"/>
  <c r="GL9" i="49"/>
  <c r="GM9" i="49"/>
  <c r="GN9" i="49"/>
  <c r="GO9" i="49"/>
  <c r="GP9" i="49"/>
  <c r="GQ9" i="49"/>
  <c r="GR9" i="49"/>
  <c r="GS9" i="49"/>
  <c r="GT9" i="49"/>
  <c r="GU9" i="49"/>
  <c r="GV9" i="49"/>
  <c r="GW9" i="49"/>
  <c r="GX9" i="49"/>
  <c r="GY9" i="49"/>
  <c r="GZ9" i="49"/>
  <c r="HA9" i="49"/>
  <c r="HB9" i="49"/>
  <c r="HC9" i="49"/>
  <c r="HD9" i="49"/>
  <c r="HE9" i="49"/>
  <c r="HF9" i="49"/>
  <c r="HG9" i="49"/>
  <c r="HH9" i="49"/>
  <c r="HI9" i="49"/>
  <c r="HJ9" i="49"/>
  <c r="HK9" i="49"/>
  <c r="HL9" i="49"/>
  <c r="HM9" i="49"/>
  <c r="HN9" i="49"/>
  <c r="HO9" i="49"/>
  <c r="HP9" i="49"/>
  <c r="HQ9" i="49"/>
  <c r="HR9" i="49"/>
  <c r="HS9" i="49"/>
  <c r="HT9" i="49"/>
  <c r="HU9" i="49"/>
  <c r="HV9" i="49"/>
  <c r="HW9" i="49"/>
  <c r="HX9" i="49"/>
  <c r="HY9" i="49"/>
  <c r="HZ9" i="49"/>
  <c r="IA9" i="49"/>
  <c r="IB9" i="49"/>
  <c r="IC9" i="49"/>
  <c r="ID9" i="49"/>
  <c r="IE9" i="49"/>
  <c r="IF9" i="49"/>
  <c r="IG9" i="49"/>
  <c r="IH9" i="49"/>
  <c r="II9" i="49"/>
  <c r="IJ9" i="49"/>
  <c r="IK9" i="49"/>
  <c r="IL9" i="49"/>
  <c r="IM9" i="49"/>
  <c r="IN9" i="49"/>
  <c r="IO9" i="49"/>
  <c r="IP9" i="49"/>
  <c r="IQ9" i="49"/>
  <c r="IR9" i="49"/>
  <c r="IS9" i="49"/>
  <c r="IT9" i="49"/>
  <c r="IU9" i="49"/>
  <c r="IV9" i="49"/>
  <c r="F10" i="49"/>
  <c r="G10" i="49"/>
  <c r="H10" i="49"/>
  <c r="I10" i="49"/>
  <c r="J10" i="49"/>
  <c r="K10" i="49"/>
  <c r="L10" i="49"/>
  <c r="M10" i="49"/>
  <c r="N10" i="49"/>
  <c r="O10" i="49"/>
  <c r="P10" i="49"/>
  <c r="Q10" i="49"/>
  <c r="R10" i="49"/>
  <c r="S10" i="49"/>
  <c r="T10" i="49"/>
  <c r="U10" i="49"/>
  <c r="V10" i="49"/>
  <c r="W10" i="49"/>
  <c r="X10" i="49"/>
  <c r="Y10" i="49"/>
  <c r="Z10" i="49"/>
  <c r="AA10" i="49"/>
  <c r="AB10" i="49"/>
  <c r="AC10" i="49"/>
  <c r="AD10" i="49"/>
  <c r="AE10" i="49"/>
  <c r="AF10" i="49"/>
  <c r="AG10" i="49"/>
  <c r="AH10" i="49"/>
  <c r="AI10" i="49"/>
  <c r="AJ10" i="49"/>
  <c r="AK10" i="49"/>
  <c r="AL10" i="49"/>
  <c r="AM10" i="49"/>
  <c r="AN10" i="49"/>
  <c r="AO10" i="49"/>
  <c r="AP10" i="49"/>
  <c r="AQ10" i="49"/>
  <c r="AR10" i="49"/>
  <c r="AS10" i="49"/>
  <c r="AT10" i="49"/>
  <c r="AU10" i="49"/>
  <c r="AV10" i="49"/>
  <c r="AW10" i="49"/>
  <c r="AX10" i="49"/>
  <c r="AY10" i="49"/>
  <c r="AZ10" i="49"/>
  <c r="BA10" i="49"/>
  <c r="BB10" i="49"/>
  <c r="BC10" i="49"/>
  <c r="BD10" i="49"/>
  <c r="BE10" i="49"/>
  <c r="BF10" i="49"/>
  <c r="BG10" i="49"/>
  <c r="BH10" i="49"/>
  <c r="BI10" i="49"/>
  <c r="BJ10" i="49"/>
  <c r="BK10" i="49"/>
  <c r="BL10" i="49"/>
  <c r="BM10" i="49"/>
  <c r="BN10" i="49"/>
  <c r="BO10" i="49"/>
  <c r="BP10" i="49"/>
  <c r="BQ10" i="49"/>
  <c r="BR10" i="49"/>
  <c r="BS10" i="49"/>
  <c r="BT10" i="49"/>
  <c r="BU10" i="49"/>
  <c r="BV10" i="49"/>
  <c r="BW10" i="49"/>
  <c r="BX10" i="49"/>
  <c r="BY10" i="49"/>
  <c r="BZ10" i="49"/>
  <c r="CA10" i="49"/>
  <c r="CB10" i="49"/>
  <c r="CC10" i="49"/>
  <c r="CD10" i="49"/>
  <c r="CE10" i="49"/>
  <c r="CF10" i="49"/>
  <c r="CG10" i="49"/>
  <c r="CH10" i="49"/>
  <c r="CI10" i="49"/>
  <c r="CJ10" i="49"/>
  <c r="CK10" i="49"/>
  <c r="CL10" i="49"/>
  <c r="CM10" i="49"/>
  <c r="CN10" i="49"/>
  <c r="CO10" i="49"/>
  <c r="CP10" i="49"/>
  <c r="CQ10" i="49"/>
  <c r="CR10" i="49"/>
  <c r="CS10" i="49"/>
  <c r="CT10" i="49"/>
  <c r="CU10" i="49"/>
  <c r="CV10" i="49"/>
  <c r="CW10" i="49"/>
  <c r="CX10" i="49"/>
  <c r="CY10" i="49"/>
  <c r="CZ10" i="49"/>
  <c r="DA10" i="49"/>
  <c r="DB10" i="49"/>
  <c r="DC10" i="49"/>
  <c r="DD10" i="49"/>
  <c r="DE10" i="49"/>
  <c r="DF10" i="49"/>
  <c r="DG10" i="49"/>
  <c r="DH10" i="49"/>
  <c r="DI10" i="49"/>
  <c r="DJ10" i="49"/>
  <c r="DK10" i="49"/>
  <c r="DL10" i="49"/>
  <c r="DM10" i="49"/>
  <c r="DN10" i="49"/>
  <c r="DO10" i="49"/>
  <c r="DP10" i="49"/>
  <c r="DQ10" i="49"/>
  <c r="DR10" i="49"/>
  <c r="DS10" i="49"/>
  <c r="DT10" i="49"/>
  <c r="DU10" i="49"/>
  <c r="DV10" i="49"/>
  <c r="DW10" i="49"/>
  <c r="DX10" i="49"/>
  <c r="DY10" i="49"/>
  <c r="DZ10" i="49"/>
  <c r="EA10" i="49"/>
  <c r="EB10" i="49"/>
  <c r="EC10" i="49"/>
  <c r="ED10" i="49"/>
  <c r="EE10" i="49"/>
  <c r="EF10" i="49"/>
  <c r="EG10" i="49"/>
  <c r="EH10" i="49"/>
  <c r="EI10" i="49"/>
  <c r="EJ10" i="49"/>
  <c r="EK10" i="49"/>
  <c r="EL10" i="49"/>
  <c r="EM10" i="49"/>
  <c r="EN10" i="49"/>
  <c r="EO10" i="49"/>
  <c r="EP10" i="49"/>
  <c r="EQ10" i="49"/>
  <c r="ER10" i="49"/>
  <c r="ES10" i="49"/>
  <c r="ET10" i="49"/>
  <c r="EU10" i="49"/>
  <c r="EV10" i="49"/>
  <c r="EW10" i="49"/>
  <c r="EX10" i="49"/>
  <c r="EY10" i="49"/>
  <c r="EZ10" i="49"/>
  <c r="FA10" i="49"/>
  <c r="FB10" i="49"/>
  <c r="FC10" i="49"/>
  <c r="FD10" i="49"/>
  <c r="FE10" i="49"/>
  <c r="FF10" i="49"/>
  <c r="FG10" i="49"/>
  <c r="FH10" i="49"/>
  <c r="FI10" i="49"/>
  <c r="FJ10" i="49"/>
  <c r="FK10" i="49"/>
  <c r="FL10" i="49"/>
  <c r="FM10" i="49"/>
  <c r="FN10" i="49"/>
  <c r="FO10" i="49"/>
  <c r="FP10" i="49"/>
  <c r="FQ10" i="49"/>
  <c r="FR10" i="49"/>
  <c r="FS10" i="49"/>
  <c r="FT10" i="49"/>
  <c r="FU10" i="49"/>
  <c r="FV10" i="49"/>
  <c r="FW10" i="49"/>
  <c r="FX10" i="49"/>
  <c r="FY10" i="49"/>
  <c r="FZ10" i="49"/>
  <c r="GA10" i="49"/>
  <c r="GB10" i="49"/>
  <c r="GC10" i="49"/>
  <c r="GD10" i="49"/>
  <c r="GE10" i="49"/>
  <c r="GF10" i="49"/>
  <c r="GG10" i="49"/>
  <c r="GH10" i="49"/>
  <c r="GI10" i="49"/>
  <c r="GJ10" i="49"/>
  <c r="GK10" i="49"/>
  <c r="GL10" i="49"/>
  <c r="GM10" i="49"/>
  <c r="GN10" i="49"/>
  <c r="GO10" i="49"/>
  <c r="GP10" i="49"/>
  <c r="GQ10" i="49"/>
  <c r="GR10" i="49"/>
  <c r="GS10" i="49"/>
  <c r="GT10" i="49"/>
  <c r="GU10" i="49"/>
  <c r="GV10" i="49"/>
  <c r="GW10" i="49"/>
  <c r="GX10" i="49"/>
  <c r="GY10" i="49"/>
  <c r="GZ10" i="49"/>
  <c r="HA10" i="49"/>
  <c r="HB10" i="49"/>
  <c r="HC10" i="49"/>
  <c r="HD10" i="49"/>
  <c r="HE10" i="49"/>
  <c r="HF10" i="49"/>
  <c r="HG10" i="49"/>
  <c r="HH10" i="49"/>
  <c r="HI10" i="49"/>
  <c r="HJ10" i="49"/>
  <c r="HK10" i="49"/>
  <c r="HL10" i="49"/>
  <c r="HM10" i="49"/>
  <c r="HN10" i="49"/>
  <c r="HO10" i="49"/>
  <c r="HP10" i="49"/>
  <c r="HQ10" i="49"/>
  <c r="HR10" i="49"/>
  <c r="HS10" i="49"/>
  <c r="HT10" i="49"/>
  <c r="HU10" i="49"/>
  <c r="HV10" i="49"/>
  <c r="HW10" i="49"/>
  <c r="HX10" i="49"/>
  <c r="HY10" i="49"/>
  <c r="HZ10" i="49"/>
  <c r="IA10" i="49"/>
  <c r="IB10" i="49"/>
  <c r="IC10" i="49"/>
  <c r="ID10" i="49"/>
  <c r="IE10" i="49"/>
  <c r="IF10" i="49"/>
  <c r="IG10" i="49"/>
  <c r="IH10" i="49"/>
  <c r="II10" i="49"/>
  <c r="IJ10" i="49"/>
  <c r="IK10" i="49"/>
  <c r="IL10" i="49"/>
  <c r="IM10" i="49"/>
  <c r="IN10" i="49"/>
  <c r="IO10" i="49"/>
  <c r="IP10" i="49"/>
  <c r="IQ10" i="49"/>
  <c r="IR10" i="49"/>
  <c r="IS10" i="49"/>
  <c r="IT10" i="49"/>
  <c r="IU10" i="49"/>
  <c r="IV10" i="49"/>
  <c r="F11" i="49"/>
  <c r="G11" i="49"/>
  <c r="H11" i="49"/>
  <c r="I11" i="49"/>
  <c r="J11" i="49"/>
  <c r="K11" i="49"/>
  <c r="L11" i="49"/>
  <c r="M11" i="49"/>
  <c r="N11" i="49"/>
  <c r="O11" i="49"/>
  <c r="P11" i="49"/>
  <c r="Q11" i="49"/>
  <c r="R11" i="49"/>
  <c r="S11" i="49"/>
  <c r="T11" i="49"/>
  <c r="U11" i="49"/>
  <c r="V11" i="49"/>
  <c r="W11" i="49"/>
  <c r="X11" i="49"/>
  <c r="Y11" i="49"/>
  <c r="Z11" i="49"/>
  <c r="AA11" i="49"/>
  <c r="AB11" i="49"/>
  <c r="AC11" i="49"/>
  <c r="AD11" i="49"/>
  <c r="AE11" i="49"/>
  <c r="AF11" i="49"/>
  <c r="AG11" i="49"/>
  <c r="AH11" i="49"/>
  <c r="AI11" i="49"/>
  <c r="AJ11" i="49"/>
  <c r="AK11" i="49"/>
  <c r="AL11" i="49"/>
  <c r="AM11" i="49"/>
  <c r="AN11" i="49"/>
  <c r="AO11" i="49"/>
  <c r="AP11" i="49"/>
  <c r="AQ11" i="49"/>
  <c r="AR11" i="49"/>
  <c r="AS11" i="49"/>
  <c r="AT11" i="49"/>
  <c r="AU11" i="49"/>
  <c r="AV11" i="49"/>
  <c r="AW11" i="49"/>
  <c r="AX11" i="49"/>
  <c r="AY11" i="49"/>
  <c r="AZ11" i="49"/>
  <c r="BA11" i="49"/>
  <c r="BB11" i="49"/>
  <c r="BC11" i="49"/>
  <c r="BD11" i="49"/>
  <c r="BE11" i="49"/>
  <c r="BF11" i="49"/>
  <c r="BG11" i="49"/>
  <c r="BH11" i="49"/>
  <c r="BI11" i="49"/>
  <c r="BJ11" i="49"/>
  <c r="BK11" i="49"/>
  <c r="BL11" i="49"/>
  <c r="BM11" i="49"/>
  <c r="BN11" i="49"/>
  <c r="BO11" i="49"/>
  <c r="BP11" i="49"/>
  <c r="BQ11" i="49"/>
  <c r="BR11" i="49"/>
  <c r="BS11" i="49"/>
  <c r="BT11" i="49"/>
  <c r="BU11" i="49"/>
  <c r="BV11" i="49"/>
  <c r="BW11" i="49"/>
  <c r="BX11" i="49"/>
  <c r="BY11" i="49"/>
  <c r="BZ11" i="49"/>
  <c r="CA11" i="49"/>
  <c r="CB11" i="49"/>
  <c r="CC11" i="49"/>
  <c r="CD11" i="49"/>
  <c r="CE11" i="49"/>
  <c r="CF11" i="49"/>
  <c r="CG11" i="49"/>
  <c r="CH11" i="49"/>
  <c r="CI11" i="49"/>
  <c r="CJ11" i="49"/>
  <c r="CK11" i="49"/>
  <c r="CL11" i="49"/>
  <c r="CM11" i="49"/>
  <c r="CN11" i="49"/>
  <c r="CO11" i="49"/>
  <c r="CP11" i="49"/>
  <c r="CQ11" i="49"/>
  <c r="CR11" i="49"/>
  <c r="CS11" i="49"/>
  <c r="CT11" i="49"/>
  <c r="CU11" i="49"/>
  <c r="CV11" i="49"/>
  <c r="CW11" i="49"/>
  <c r="CX11" i="49"/>
  <c r="CY11" i="49"/>
  <c r="CZ11" i="49"/>
  <c r="DA11" i="49"/>
  <c r="DB11" i="49"/>
  <c r="DC11" i="49"/>
  <c r="DD11" i="49"/>
  <c r="DE11" i="49"/>
  <c r="DF11" i="49"/>
  <c r="DG11" i="49"/>
  <c r="DH11" i="49"/>
  <c r="DI11" i="49"/>
  <c r="DJ11" i="49"/>
  <c r="DK11" i="49"/>
  <c r="DL11" i="49"/>
  <c r="DM11" i="49"/>
  <c r="DN11" i="49"/>
  <c r="DO11" i="49"/>
  <c r="DP11" i="49"/>
  <c r="DQ11" i="49"/>
  <c r="DR11" i="49"/>
  <c r="DS11" i="49"/>
  <c r="DT11" i="49"/>
  <c r="DU11" i="49"/>
  <c r="DV11" i="49"/>
  <c r="DW11" i="49"/>
  <c r="DX11" i="49"/>
  <c r="DY11" i="49"/>
  <c r="DZ11" i="49"/>
  <c r="EA11" i="49"/>
  <c r="EB11" i="49"/>
  <c r="EC11" i="49"/>
  <c r="ED11" i="49"/>
  <c r="EE11" i="49"/>
  <c r="EF11" i="49"/>
  <c r="EG11" i="49"/>
  <c r="EH11" i="49"/>
  <c r="EI11" i="49"/>
  <c r="EJ11" i="49"/>
  <c r="EK11" i="49"/>
  <c r="EL11" i="49"/>
  <c r="EM11" i="49"/>
  <c r="EN11" i="49"/>
  <c r="EO11" i="49"/>
  <c r="EP11" i="49"/>
  <c r="EQ11" i="49"/>
  <c r="ER11" i="49"/>
  <c r="ES11" i="49"/>
  <c r="ET11" i="49"/>
  <c r="EU11" i="49"/>
  <c r="EV11" i="49"/>
  <c r="EW11" i="49"/>
  <c r="EX11" i="49"/>
  <c r="EY11" i="49"/>
  <c r="EZ11" i="49"/>
  <c r="FA11" i="49"/>
  <c r="FB11" i="49"/>
  <c r="FC11" i="49"/>
  <c r="FD11" i="49"/>
  <c r="FE11" i="49"/>
  <c r="FF11" i="49"/>
  <c r="FG11" i="49"/>
  <c r="FH11" i="49"/>
  <c r="FI11" i="49"/>
  <c r="FJ11" i="49"/>
  <c r="FK11" i="49"/>
  <c r="FL11" i="49"/>
  <c r="FM11" i="49"/>
  <c r="FN11" i="49"/>
  <c r="FO11" i="49"/>
  <c r="FP11" i="49"/>
  <c r="FQ11" i="49"/>
  <c r="FR11" i="49"/>
  <c r="FS11" i="49"/>
  <c r="FT11" i="49"/>
  <c r="FU11" i="49"/>
  <c r="FV11" i="49"/>
  <c r="FW11" i="49"/>
  <c r="FX11" i="49"/>
  <c r="FY11" i="49"/>
  <c r="FZ11" i="49"/>
  <c r="GA11" i="49"/>
  <c r="GB11" i="49"/>
  <c r="GC11" i="49"/>
  <c r="GD11" i="49"/>
  <c r="GE11" i="49"/>
  <c r="GF11" i="49"/>
  <c r="GG11" i="49"/>
  <c r="GH11" i="49"/>
  <c r="GI11" i="49"/>
  <c r="GJ11" i="49"/>
  <c r="GK11" i="49"/>
  <c r="GL11" i="49"/>
  <c r="GM11" i="49"/>
  <c r="GN11" i="49"/>
  <c r="GO11" i="49"/>
  <c r="GP11" i="49"/>
  <c r="GQ11" i="49"/>
  <c r="GR11" i="49"/>
  <c r="GS11" i="49"/>
  <c r="GT11" i="49"/>
  <c r="GU11" i="49"/>
  <c r="GV11" i="49"/>
  <c r="GW11" i="49"/>
  <c r="GX11" i="49"/>
  <c r="GY11" i="49"/>
  <c r="GZ11" i="49"/>
  <c r="HA11" i="49"/>
  <c r="HB11" i="49"/>
  <c r="HC11" i="49"/>
  <c r="HD11" i="49"/>
  <c r="HE11" i="49"/>
  <c r="HF11" i="49"/>
  <c r="HG11" i="49"/>
  <c r="HH11" i="49"/>
  <c r="HI11" i="49"/>
  <c r="HJ11" i="49"/>
  <c r="HK11" i="49"/>
  <c r="HL11" i="49"/>
  <c r="HM11" i="49"/>
  <c r="HN11" i="49"/>
  <c r="HO11" i="49"/>
  <c r="HP11" i="49"/>
  <c r="HQ11" i="49"/>
  <c r="HR11" i="49"/>
  <c r="HS11" i="49"/>
  <c r="HT11" i="49"/>
  <c r="HU11" i="49"/>
  <c r="HV11" i="49"/>
  <c r="HW11" i="49"/>
  <c r="HX11" i="49"/>
  <c r="HY11" i="49"/>
  <c r="HZ11" i="49"/>
  <c r="IA11" i="49"/>
  <c r="IB11" i="49"/>
  <c r="IC11" i="49"/>
  <c r="ID11" i="49"/>
  <c r="IE11" i="49"/>
  <c r="IF11" i="49"/>
  <c r="IG11" i="49"/>
  <c r="IH11" i="49"/>
  <c r="II11" i="49"/>
  <c r="IJ11" i="49"/>
  <c r="IK11" i="49"/>
  <c r="IL11" i="49"/>
  <c r="IM11" i="49"/>
  <c r="IN11" i="49"/>
  <c r="IO11" i="49"/>
  <c r="IP11" i="49"/>
  <c r="IQ11" i="49"/>
  <c r="IR11" i="49"/>
  <c r="IS11" i="49"/>
  <c r="IT11" i="49"/>
  <c r="IU11" i="49"/>
  <c r="IV11" i="49"/>
  <c r="F12" i="49"/>
  <c r="G12" i="49"/>
  <c r="H12" i="49"/>
  <c r="I12" i="49"/>
  <c r="J12" i="49"/>
  <c r="K12" i="49"/>
  <c r="L12" i="49"/>
  <c r="M12" i="49"/>
  <c r="N12" i="49"/>
  <c r="O12" i="49"/>
  <c r="P12" i="49"/>
  <c r="Q12" i="49"/>
  <c r="R12" i="49"/>
  <c r="S12" i="49"/>
  <c r="T12" i="49"/>
  <c r="U12" i="49"/>
  <c r="V12" i="49"/>
  <c r="W12" i="49"/>
  <c r="X12" i="49"/>
  <c r="Y12" i="49"/>
  <c r="Z12" i="49"/>
  <c r="AA12" i="49"/>
  <c r="AB12" i="49"/>
  <c r="AC12" i="49"/>
  <c r="AD12" i="49"/>
  <c r="AE12" i="49"/>
  <c r="AF12" i="49"/>
  <c r="AG12" i="49"/>
  <c r="AH12" i="49"/>
  <c r="AI12" i="49"/>
  <c r="AJ12" i="49"/>
  <c r="AK12" i="49"/>
  <c r="AL12" i="49"/>
  <c r="AM12" i="49"/>
  <c r="AN12" i="49"/>
  <c r="AO12" i="49"/>
  <c r="AP12" i="49"/>
  <c r="AQ12" i="49"/>
  <c r="AR12" i="49"/>
  <c r="AS12" i="49"/>
  <c r="AT12" i="49"/>
  <c r="AU12" i="49"/>
  <c r="AV12" i="49"/>
  <c r="AW12" i="49"/>
  <c r="AX12" i="49"/>
  <c r="AY12" i="49"/>
  <c r="AZ12" i="49"/>
  <c r="BA12" i="49"/>
  <c r="BB12" i="49"/>
  <c r="BC12" i="49"/>
  <c r="BD12" i="49"/>
  <c r="BE12" i="49"/>
  <c r="BF12" i="49"/>
  <c r="BG12" i="49"/>
  <c r="BH12" i="49"/>
  <c r="BI12" i="49"/>
  <c r="BJ12" i="49"/>
  <c r="BK12" i="49"/>
  <c r="BL12" i="49"/>
  <c r="BM12" i="49"/>
  <c r="BN12" i="49"/>
  <c r="BO12" i="49"/>
  <c r="BP12" i="49"/>
  <c r="BQ12" i="49"/>
  <c r="BR12" i="49"/>
  <c r="BS12" i="49"/>
  <c r="BT12" i="49"/>
  <c r="BU12" i="49"/>
  <c r="BV12" i="49"/>
  <c r="BW12" i="49"/>
  <c r="BX12" i="49"/>
  <c r="BY12" i="49"/>
  <c r="BZ12" i="49"/>
  <c r="CA12" i="49"/>
  <c r="CB12" i="49"/>
  <c r="CC12" i="49"/>
  <c r="CD12" i="49"/>
  <c r="CE12" i="49"/>
  <c r="CF12" i="49"/>
  <c r="CG12" i="49"/>
  <c r="CH12" i="49"/>
  <c r="CI12" i="49"/>
  <c r="CJ12" i="49"/>
  <c r="CK12" i="49"/>
  <c r="CL12" i="49"/>
  <c r="CM12" i="49"/>
  <c r="CN12" i="49"/>
  <c r="CO12" i="49"/>
  <c r="CP12" i="49"/>
  <c r="CQ12" i="49"/>
  <c r="CR12" i="49"/>
  <c r="CS12" i="49"/>
  <c r="CT12" i="49"/>
  <c r="CU12" i="49"/>
  <c r="CV12" i="49"/>
  <c r="CW12" i="49"/>
  <c r="CX12" i="49"/>
  <c r="CY12" i="49"/>
  <c r="CZ12" i="49"/>
  <c r="DA12" i="49"/>
  <c r="DB12" i="49"/>
  <c r="DC12" i="49"/>
  <c r="DD12" i="49"/>
  <c r="DE12" i="49"/>
  <c r="DF12" i="49"/>
  <c r="DG12" i="49"/>
  <c r="DH12" i="49"/>
  <c r="DI12" i="49"/>
  <c r="DJ12" i="49"/>
  <c r="DK12" i="49"/>
  <c r="DL12" i="49"/>
  <c r="DM12" i="49"/>
  <c r="DN12" i="49"/>
  <c r="DO12" i="49"/>
  <c r="DP12" i="49"/>
  <c r="DQ12" i="49"/>
  <c r="DR12" i="49"/>
  <c r="DS12" i="49"/>
  <c r="DT12" i="49"/>
  <c r="DU12" i="49"/>
  <c r="DV12" i="49"/>
  <c r="DW12" i="49"/>
  <c r="DX12" i="49"/>
  <c r="DY12" i="49"/>
  <c r="DZ12" i="49"/>
  <c r="EA12" i="49"/>
  <c r="EB12" i="49"/>
  <c r="EC12" i="49"/>
  <c r="ED12" i="49"/>
  <c r="EE12" i="49"/>
  <c r="EF12" i="49"/>
  <c r="EG12" i="49"/>
  <c r="EH12" i="49"/>
  <c r="EI12" i="49"/>
  <c r="EJ12" i="49"/>
  <c r="EK12" i="49"/>
  <c r="EL12" i="49"/>
  <c r="EM12" i="49"/>
  <c r="EN12" i="49"/>
  <c r="EO12" i="49"/>
  <c r="EP12" i="49"/>
  <c r="EQ12" i="49"/>
  <c r="ER12" i="49"/>
  <c r="ES12" i="49"/>
  <c r="ET12" i="49"/>
  <c r="EU12" i="49"/>
  <c r="EV12" i="49"/>
  <c r="EW12" i="49"/>
  <c r="EX12" i="49"/>
  <c r="EY12" i="49"/>
  <c r="EZ12" i="49"/>
  <c r="FA12" i="49"/>
  <c r="FB12" i="49"/>
  <c r="FC12" i="49"/>
  <c r="FD12" i="49"/>
  <c r="FE12" i="49"/>
  <c r="FF12" i="49"/>
  <c r="FG12" i="49"/>
  <c r="FH12" i="49"/>
  <c r="FI12" i="49"/>
  <c r="FJ12" i="49"/>
  <c r="FK12" i="49"/>
  <c r="FL12" i="49"/>
  <c r="FM12" i="49"/>
  <c r="FN12" i="49"/>
  <c r="FO12" i="49"/>
  <c r="FP12" i="49"/>
  <c r="FQ12" i="49"/>
  <c r="FR12" i="49"/>
  <c r="FS12" i="49"/>
  <c r="FT12" i="49"/>
  <c r="FU12" i="49"/>
  <c r="FV12" i="49"/>
  <c r="FW12" i="49"/>
  <c r="FX12" i="49"/>
  <c r="FY12" i="49"/>
  <c r="FZ12" i="49"/>
  <c r="GA12" i="49"/>
  <c r="GB12" i="49"/>
  <c r="GC12" i="49"/>
  <c r="GD12" i="49"/>
  <c r="GE12" i="49"/>
  <c r="GF12" i="49"/>
  <c r="GG12" i="49"/>
  <c r="GH12" i="49"/>
  <c r="GI12" i="49"/>
  <c r="GJ12" i="49"/>
  <c r="GK12" i="49"/>
  <c r="GL12" i="49"/>
  <c r="GM12" i="49"/>
  <c r="GN12" i="49"/>
  <c r="GO12" i="49"/>
  <c r="GP12" i="49"/>
  <c r="GQ12" i="49"/>
  <c r="GR12" i="49"/>
  <c r="GS12" i="49"/>
  <c r="GT12" i="49"/>
  <c r="GU12" i="49"/>
  <c r="GV12" i="49"/>
  <c r="GW12" i="49"/>
  <c r="GX12" i="49"/>
  <c r="GY12" i="49"/>
  <c r="GZ12" i="49"/>
  <c r="HA12" i="49"/>
  <c r="HB12" i="49"/>
  <c r="HC12" i="49"/>
  <c r="HD12" i="49"/>
  <c r="HE12" i="49"/>
  <c r="HF12" i="49"/>
  <c r="HG12" i="49"/>
  <c r="HH12" i="49"/>
  <c r="HI12" i="49"/>
  <c r="HJ12" i="49"/>
  <c r="HK12" i="49"/>
  <c r="HL12" i="49"/>
  <c r="HM12" i="49"/>
  <c r="HN12" i="49"/>
  <c r="HO12" i="49"/>
  <c r="HP12" i="49"/>
  <c r="HQ12" i="49"/>
  <c r="HR12" i="49"/>
  <c r="HS12" i="49"/>
  <c r="HT12" i="49"/>
  <c r="HU12" i="49"/>
  <c r="HV12" i="49"/>
  <c r="HW12" i="49"/>
  <c r="HX12" i="49"/>
  <c r="HY12" i="49"/>
  <c r="HZ12" i="49"/>
  <c r="IA12" i="49"/>
  <c r="IB12" i="49"/>
  <c r="IC12" i="49"/>
  <c r="ID12" i="49"/>
  <c r="IE12" i="49"/>
  <c r="IF12" i="49"/>
  <c r="IG12" i="49"/>
  <c r="IH12" i="49"/>
  <c r="II12" i="49"/>
  <c r="IJ12" i="49"/>
  <c r="IK12" i="49"/>
  <c r="IL12" i="49"/>
  <c r="IM12" i="49"/>
  <c r="IN12" i="49"/>
  <c r="IO12" i="49"/>
  <c r="IP12" i="49"/>
  <c r="IQ12" i="49"/>
  <c r="IR12" i="49"/>
  <c r="IS12" i="49"/>
  <c r="IT12" i="49"/>
  <c r="IU12" i="49"/>
  <c r="IV12" i="49"/>
  <c r="F13" i="49"/>
  <c r="G13" i="49"/>
  <c r="H13" i="49"/>
  <c r="I13" i="49"/>
  <c r="J13" i="49"/>
  <c r="K13" i="49"/>
  <c r="L13" i="49"/>
  <c r="M13" i="49"/>
  <c r="N13" i="49"/>
  <c r="O13" i="49"/>
  <c r="P13" i="49"/>
  <c r="Q13" i="49"/>
  <c r="R13" i="49"/>
  <c r="S13" i="49"/>
  <c r="T13" i="49"/>
  <c r="U13" i="49"/>
  <c r="V13" i="49"/>
  <c r="W13" i="49"/>
  <c r="X13" i="49"/>
  <c r="Y13" i="49"/>
  <c r="Z13" i="49"/>
  <c r="AA13" i="49"/>
  <c r="AB13" i="49"/>
  <c r="AC13" i="49"/>
  <c r="AD13" i="49"/>
  <c r="AE13" i="49"/>
  <c r="AF13" i="49"/>
  <c r="AG13" i="49"/>
  <c r="AH13" i="49"/>
  <c r="AI13" i="49"/>
  <c r="AJ13" i="49"/>
  <c r="AK13" i="49"/>
  <c r="AL13" i="49"/>
  <c r="AM13" i="49"/>
  <c r="AN13" i="49"/>
  <c r="AO13" i="49"/>
  <c r="AP13" i="49"/>
  <c r="AQ13" i="49"/>
  <c r="AR13" i="49"/>
  <c r="AS13" i="49"/>
  <c r="AT13" i="49"/>
  <c r="AU13" i="49"/>
  <c r="AV13" i="49"/>
  <c r="AW13" i="49"/>
  <c r="AX13" i="49"/>
  <c r="AY13" i="49"/>
  <c r="AZ13" i="49"/>
  <c r="BA13" i="49"/>
  <c r="BB13" i="49"/>
  <c r="BC13" i="49"/>
  <c r="BD13" i="49"/>
  <c r="BE13" i="49"/>
  <c r="BF13" i="49"/>
  <c r="BG13" i="49"/>
  <c r="BH13" i="49"/>
  <c r="BI13" i="49"/>
  <c r="BJ13" i="49"/>
  <c r="BK13" i="49"/>
  <c r="BL13" i="49"/>
  <c r="BM13" i="49"/>
  <c r="BN13" i="49"/>
  <c r="BO13" i="49"/>
  <c r="BP13" i="49"/>
  <c r="BQ13" i="49"/>
  <c r="BR13" i="49"/>
  <c r="BS13" i="49"/>
  <c r="BT13" i="49"/>
  <c r="BU13" i="49"/>
  <c r="BV13" i="49"/>
  <c r="BW13" i="49"/>
  <c r="BX13" i="49"/>
  <c r="BY13" i="49"/>
  <c r="BZ13" i="49"/>
  <c r="CA13" i="49"/>
  <c r="CB13" i="49"/>
  <c r="CC13" i="49"/>
  <c r="CD13" i="49"/>
  <c r="CE13" i="49"/>
  <c r="CF13" i="49"/>
  <c r="CG13" i="49"/>
  <c r="CH13" i="49"/>
  <c r="CI13" i="49"/>
  <c r="CJ13" i="49"/>
  <c r="CK13" i="49"/>
  <c r="CL13" i="49"/>
  <c r="CM13" i="49"/>
  <c r="CN13" i="49"/>
  <c r="CO13" i="49"/>
  <c r="CP13" i="49"/>
  <c r="CQ13" i="49"/>
  <c r="CR13" i="49"/>
  <c r="CS13" i="49"/>
  <c r="CT13" i="49"/>
  <c r="CU13" i="49"/>
  <c r="CV13" i="49"/>
  <c r="CW13" i="49"/>
  <c r="CX13" i="49"/>
  <c r="CY13" i="49"/>
  <c r="CZ13" i="49"/>
  <c r="DA13" i="49"/>
  <c r="DB13" i="49"/>
  <c r="DC13" i="49"/>
  <c r="DD13" i="49"/>
  <c r="DE13" i="49"/>
  <c r="DF13" i="49"/>
  <c r="DG13" i="49"/>
  <c r="DH13" i="49"/>
  <c r="DI13" i="49"/>
  <c r="DJ13" i="49"/>
  <c r="DK13" i="49"/>
  <c r="DL13" i="49"/>
  <c r="DM13" i="49"/>
  <c r="DN13" i="49"/>
  <c r="DO13" i="49"/>
  <c r="DP13" i="49"/>
  <c r="DQ13" i="49"/>
  <c r="DR13" i="49"/>
  <c r="DS13" i="49"/>
  <c r="DT13" i="49"/>
  <c r="DU13" i="49"/>
  <c r="DV13" i="49"/>
  <c r="DW13" i="49"/>
  <c r="DX13" i="49"/>
  <c r="DY13" i="49"/>
  <c r="DZ13" i="49"/>
  <c r="EA13" i="49"/>
  <c r="EB13" i="49"/>
  <c r="EC13" i="49"/>
  <c r="ED13" i="49"/>
  <c r="EE13" i="49"/>
  <c r="EF13" i="49"/>
  <c r="EG13" i="49"/>
  <c r="EH13" i="49"/>
  <c r="EI13" i="49"/>
  <c r="EJ13" i="49"/>
  <c r="EK13" i="49"/>
  <c r="EL13" i="49"/>
  <c r="EM13" i="49"/>
  <c r="EN13" i="49"/>
  <c r="EO13" i="49"/>
  <c r="EP13" i="49"/>
  <c r="EQ13" i="49"/>
  <c r="ER13" i="49"/>
  <c r="ES13" i="49"/>
  <c r="ET13" i="49"/>
  <c r="EU13" i="49"/>
  <c r="EV13" i="49"/>
  <c r="EW13" i="49"/>
  <c r="EX13" i="49"/>
  <c r="EY13" i="49"/>
  <c r="EZ13" i="49"/>
  <c r="FA13" i="49"/>
  <c r="FB13" i="49"/>
  <c r="FC13" i="49"/>
  <c r="FD13" i="49"/>
  <c r="FE13" i="49"/>
  <c r="FF13" i="49"/>
  <c r="FG13" i="49"/>
  <c r="FH13" i="49"/>
  <c r="FI13" i="49"/>
  <c r="FJ13" i="49"/>
  <c r="FK13" i="49"/>
  <c r="FL13" i="49"/>
  <c r="FM13" i="49"/>
  <c r="FN13" i="49"/>
  <c r="FO13" i="49"/>
  <c r="FP13" i="49"/>
  <c r="FQ13" i="49"/>
  <c r="FR13" i="49"/>
  <c r="FS13" i="49"/>
  <c r="FT13" i="49"/>
  <c r="FU13" i="49"/>
  <c r="FV13" i="49"/>
  <c r="FW13" i="49"/>
  <c r="FX13" i="49"/>
  <c r="FY13" i="49"/>
  <c r="FZ13" i="49"/>
  <c r="GA13" i="49"/>
  <c r="GB13" i="49"/>
  <c r="GC13" i="49"/>
  <c r="GD13" i="49"/>
  <c r="GE13" i="49"/>
  <c r="GF13" i="49"/>
  <c r="GG13" i="49"/>
  <c r="GH13" i="49"/>
  <c r="GI13" i="49"/>
  <c r="GJ13" i="49"/>
  <c r="GK13" i="49"/>
  <c r="GL13" i="49"/>
  <c r="GM13" i="49"/>
  <c r="GN13" i="49"/>
  <c r="GO13" i="49"/>
  <c r="GP13" i="49"/>
  <c r="GQ13" i="49"/>
  <c r="GR13" i="49"/>
  <c r="GS13" i="49"/>
  <c r="GT13" i="49"/>
  <c r="GU13" i="49"/>
  <c r="GV13" i="49"/>
  <c r="GW13" i="49"/>
  <c r="GX13" i="49"/>
  <c r="GY13" i="49"/>
  <c r="GZ13" i="49"/>
  <c r="HA13" i="49"/>
  <c r="HB13" i="49"/>
  <c r="HC13" i="49"/>
  <c r="HD13" i="49"/>
  <c r="HE13" i="49"/>
  <c r="HF13" i="49"/>
  <c r="HG13" i="49"/>
  <c r="HH13" i="49"/>
  <c r="HI13" i="49"/>
  <c r="HJ13" i="49"/>
  <c r="HK13" i="49"/>
  <c r="HL13" i="49"/>
  <c r="HM13" i="49"/>
  <c r="HN13" i="49"/>
  <c r="HO13" i="49"/>
  <c r="HP13" i="49"/>
  <c r="HQ13" i="49"/>
  <c r="HR13" i="49"/>
  <c r="HS13" i="49"/>
  <c r="HT13" i="49"/>
  <c r="HU13" i="49"/>
  <c r="HV13" i="49"/>
  <c r="HW13" i="49"/>
  <c r="HX13" i="49"/>
  <c r="HY13" i="49"/>
  <c r="HZ13" i="49"/>
  <c r="IA13" i="49"/>
  <c r="IB13" i="49"/>
  <c r="IC13" i="49"/>
  <c r="ID13" i="49"/>
  <c r="IE13" i="49"/>
  <c r="IF13" i="49"/>
  <c r="IG13" i="49"/>
  <c r="IH13" i="49"/>
  <c r="II13" i="49"/>
  <c r="IJ13" i="49"/>
  <c r="IK13" i="49"/>
  <c r="IL13" i="49"/>
  <c r="IM13" i="49"/>
  <c r="IN13" i="49"/>
  <c r="IO13" i="49"/>
  <c r="IP13" i="49"/>
  <c r="IQ13" i="49"/>
  <c r="IR13" i="49"/>
  <c r="IS13" i="49"/>
  <c r="IT13" i="49"/>
  <c r="IU13" i="49"/>
  <c r="IV13" i="49"/>
  <c r="F14" i="49"/>
  <c r="G14" i="49"/>
  <c r="H14" i="49"/>
  <c r="I14" i="49"/>
  <c r="J14" i="49"/>
  <c r="K14" i="49"/>
  <c r="L14" i="49"/>
  <c r="M14" i="49"/>
  <c r="N14" i="49"/>
  <c r="O14" i="49"/>
  <c r="P14" i="49"/>
  <c r="Q14" i="49"/>
  <c r="R14" i="49"/>
  <c r="S14" i="49"/>
  <c r="T14" i="49"/>
  <c r="U14" i="49"/>
  <c r="V14" i="49"/>
  <c r="W14" i="49"/>
  <c r="X14" i="49"/>
  <c r="Y14" i="49"/>
  <c r="Z14" i="49"/>
  <c r="AA14" i="49"/>
  <c r="AB14" i="49"/>
  <c r="AC14" i="49"/>
  <c r="AD14" i="49"/>
  <c r="AE14" i="49"/>
  <c r="AF14" i="49"/>
  <c r="AG14" i="49"/>
  <c r="AH14" i="49"/>
  <c r="AI14" i="49"/>
  <c r="AJ14" i="49"/>
  <c r="AK14" i="49"/>
  <c r="AL14" i="49"/>
  <c r="AM14" i="49"/>
  <c r="AN14" i="49"/>
  <c r="AO14" i="49"/>
  <c r="AP14" i="49"/>
  <c r="AQ14" i="49"/>
  <c r="AR14" i="49"/>
  <c r="AS14" i="49"/>
  <c r="AT14" i="49"/>
  <c r="AU14" i="49"/>
  <c r="AV14" i="49"/>
  <c r="AW14" i="49"/>
  <c r="AX14" i="49"/>
  <c r="AY14" i="49"/>
  <c r="AZ14" i="49"/>
  <c r="BA14" i="49"/>
  <c r="BB14" i="49"/>
  <c r="BC14" i="49"/>
  <c r="BD14" i="49"/>
  <c r="BE14" i="49"/>
  <c r="BF14" i="49"/>
  <c r="BG14" i="49"/>
  <c r="BH14" i="49"/>
  <c r="BI14" i="49"/>
  <c r="BJ14" i="49"/>
  <c r="BK14" i="49"/>
  <c r="BL14" i="49"/>
  <c r="BM14" i="49"/>
  <c r="BN14" i="49"/>
  <c r="BO14" i="49"/>
  <c r="BP14" i="49"/>
  <c r="BQ14" i="49"/>
  <c r="BR14" i="49"/>
  <c r="BS14" i="49"/>
  <c r="BT14" i="49"/>
  <c r="BU14" i="49"/>
  <c r="BV14" i="49"/>
  <c r="BW14" i="49"/>
  <c r="BX14" i="49"/>
  <c r="BY14" i="49"/>
  <c r="BZ14" i="49"/>
  <c r="CA14" i="49"/>
  <c r="CB14" i="49"/>
  <c r="CC14" i="49"/>
  <c r="CD14" i="49"/>
  <c r="CE14" i="49"/>
  <c r="CF14" i="49"/>
  <c r="CG14" i="49"/>
  <c r="CH14" i="49"/>
  <c r="CI14" i="49"/>
  <c r="CJ14" i="49"/>
  <c r="CK14" i="49"/>
  <c r="CL14" i="49"/>
  <c r="CM14" i="49"/>
  <c r="CN14" i="49"/>
  <c r="CO14" i="49"/>
  <c r="CP14" i="49"/>
  <c r="CQ14" i="49"/>
  <c r="CR14" i="49"/>
  <c r="CS14" i="49"/>
  <c r="CT14" i="49"/>
  <c r="CU14" i="49"/>
  <c r="CV14" i="49"/>
  <c r="CW14" i="49"/>
  <c r="CX14" i="49"/>
  <c r="CY14" i="49"/>
  <c r="CZ14" i="49"/>
  <c r="DA14" i="49"/>
  <c r="DB14" i="49"/>
  <c r="DC14" i="49"/>
  <c r="DD14" i="49"/>
  <c r="DE14" i="49"/>
  <c r="DF14" i="49"/>
  <c r="DG14" i="49"/>
  <c r="DH14" i="49"/>
  <c r="DI14" i="49"/>
  <c r="DJ14" i="49"/>
  <c r="DK14" i="49"/>
  <c r="DL14" i="49"/>
  <c r="DM14" i="49"/>
  <c r="DN14" i="49"/>
  <c r="DO14" i="49"/>
  <c r="DP14" i="49"/>
  <c r="DQ14" i="49"/>
  <c r="DR14" i="49"/>
  <c r="DS14" i="49"/>
  <c r="DT14" i="49"/>
  <c r="DU14" i="49"/>
  <c r="DV14" i="49"/>
  <c r="DW14" i="49"/>
  <c r="DX14" i="49"/>
  <c r="DY14" i="49"/>
  <c r="DZ14" i="49"/>
  <c r="EA14" i="49"/>
  <c r="EB14" i="49"/>
  <c r="EC14" i="49"/>
  <c r="ED14" i="49"/>
  <c r="EE14" i="49"/>
  <c r="EF14" i="49"/>
  <c r="EG14" i="49"/>
  <c r="EH14" i="49"/>
  <c r="EI14" i="49"/>
  <c r="EJ14" i="49"/>
  <c r="EK14" i="49"/>
  <c r="EL14" i="49"/>
  <c r="EM14" i="49"/>
  <c r="EN14" i="49"/>
  <c r="EO14" i="49"/>
  <c r="EP14" i="49"/>
  <c r="EQ14" i="49"/>
  <c r="ER14" i="49"/>
  <c r="ES14" i="49"/>
  <c r="ET14" i="49"/>
  <c r="EU14" i="49"/>
  <c r="EV14" i="49"/>
  <c r="EW14" i="49"/>
  <c r="EX14" i="49"/>
  <c r="EY14" i="49"/>
  <c r="EZ14" i="49"/>
  <c r="FA14" i="49"/>
  <c r="FB14" i="49"/>
  <c r="FC14" i="49"/>
  <c r="FD14" i="49"/>
  <c r="FE14" i="49"/>
  <c r="FF14" i="49"/>
  <c r="FG14" i="49"/>
  <c r="FH14" i="49"/>
  <c r="FI14" i="49"/>
  <c r="FJ14" i="49"/>
  <c r="FK14" i="49"/>
  <c r="FL14" i="49"/>
  <c r="FM14" i="49"/>
  <c r="FN14" i="49"/>
  <c r="FO14" i="49"/>
  <c r="FP14" i="49"/>
  <c r="FQ14" i="49"/>
  <c r="FR14" i="49"/>
  <c r="FS14" i="49"/>
  <c r="FT14" i="49"/>
  <c r="FU14" i="49"/>
  <c r="FV14" i="49"/>
  <c r="FW14" i="49"/>
  <c r="FX14" i="49"/>
  <c r="FY14" i="49"/>
  <c r="FZ14" i="49"/>
  <c r="GA14" i="49"/>
  <c r="GB14" i="49"/>
  <c r="GC14" i="49"/>
  <c r="GD14" i="49"/>
  <c r="GE14" i="49"/>
  <c r="GF14" i="49"/>
  <c r="GG14" i="49"/>
  <c r="GH14" i="49"/>
  <c r="GI14" i="49"/>
  <c r="GJ14" i="49"/>
  <c r="GK14" i="49"/>
  <c r="GL14" i="49"/>
  <c r="GM14" i="49"/>
  <c r="GN14" i="49"/>
  <c r="GO14" i="49"/>
  <c r="GP14" i="49"/>
  <c r="GQ14" i="49"/>
  <c r="GR14" i="49"/>
  <c r="GS14" i="49"/>
  <c r="GT14" i="49"/>
  <c r="GU14" i="49"/>
  <c r="GV14" i="49"/>
  <c r="GW14" i="49"/>
  <c r="GX14" i="49"/>
  <c r="GY14" i="49"/>
  <c r="GZ14" i="49"/>
  <c r="HA14" i="49"/>
  <c r="HB14" i="49"/>
  <c r="HC14" i="49"/>
  <c r="HD14" i="49"/>
  <c r="HE14" i="49"/>
  <c r="HF14" i="49"/>
  <c r="HG14" i="49"/>
  <c r="HH14" i="49"/>
  <c r="HI14" i="49"/>
  <c r="HJ14" i="49"/>
  <c r="HK14" i="49"/>
  <c r="HL14" i="49"/>
  <c r="HM14" i="49"/>
  <c r="HN14" i="49"/>
  <c r="HO14" i="49"/>
  <c r="HP14" i="49"/>
  <c r="HQ14" i="49"/>
  <c r="HR14" i="49"/>
  <c r="HS14" i="49"/>
  <c r="HT14" i="49"/>
  <c r="HU14" i="49"/>
  <c r="HV14" i="49"/>
  <c r="HW14" i="49"/>
  <c r="HX14" i="49"/>
  <c r="HY14" i="49"/>
  <c r="HZ14" i="49"/>
  <c r="IA14" i="49"/>
  <c r="IB14" i="49"/>
  <c r="IC14" i="49"/>
  <c r="ID14" i="49"/>
  <c r="IE14" i="49"/>
  <c r="IF14" i="49"/>
  <c r="IG14" i="49"/>
  <c r="IH14" i="49"/>
  <c r="II14" i="49"/>
  <c r="IJ14" i="49"/>
  <c r="IK14" i="49"/>
  <c r="IL14" i="49"/>
  <c r="IM14" i="49"/>
  <c r="IN14" i="49"/>
  <c r="IO14" i="49"/>
  <c r="IP14" i="49"/>
  <c r="IQ14" i="49"/>
  <c r="IR14" i="49"/>
  <c r="IS14" i="49"/>
  <c r="IT14" i="49"/>
  <c r="IU14" i="49"/>
  <c r="IV14" i="49"/>
  <c r="F15" i="49"/>
  <c r="G15" i="49"/>
  <c r="H15" i="49"/>
  <c r="I15" i="49"/>
  <c r="J15" i="49"/>
  <c r="K15" i="49"/>
  <c r="L15" i="49"/>
  <c r="M15" i="49"/>
  <c r="N15" i="49"/>
  <c r="O15" i="49"/>
  <c r="P15" i="49"/>
  <c r="Q15" i="49"/>
  <c r="R15" i="49"/>
  <c r="S15" i="49"/>
  <c r="T15" i="49"/>
  <c r="U15" i="49"/>
  <c r="V15" i="49"/>
  <c r="W15" i="49"/>
  <c r="X15" i="49"/>
  <c r="Y15" i="49"/>
  <c r="Z15" i="49"/>
  <c r="AA15" i="49"/>
  <c r="AB15" i="49"/>
  <c r="AC15" i="49"/>
  <c r="AD15" i="49"/>
  <c r="AE15" i="49"/>
  <c r="AF15" i="49"/>
  <c r="AG15" i="49"/>
  <c r="AH15" i="49"/>
  <c r="AI15" i="49"/>
  <c r="AJ15" i="49"/>
  <c r="AK15" i="49"/>
  <c r="AL15" i="49"/>
  <c r="AM15" i="49"/>
  <c r="AN15" i="49"/>
  <c r="AO15" i="49"/>
  <c r="AP15" i="49"/>
  <c r="AQ15" i="49"/>
  <c r="AR15" i="49"/>
  <c r="AS15" i="49"/>
  <c r="AT15" i="49"/>
  <c r="AU15" i="49"/>
  <c r="AV15" i="49"/>
  <c r="AW15" i="49"/>
  <c r="AX15" i="49"/>
  <c r="AY15" i="49"/>
  <c r="AZ15" i="49"/>
  <c r="BA15" i="49"/>
  <c r="BB15" i="49"/>
  <c r="BC15" i="49"/>
  <c r="BD15" i="49"/>
  <c r="BE15" i="49"/>
  <c r="BF15" i="49"/>
  <c r="BG15" i="49"/>
  <c r="BH15" i="49"/>
  <c r="BI15" i="49"/>
  <c r="BJ15" i="49"/>
  <c r="BK15" i="49"/>
  <c r="BL15" i="49"/>
  <c r="BM15" i="49"/>
  <c r="BN15" i="49"/>
  <c r="BO15" i="49"/>
  <c r="BP15" i="49"/>
  <c r="BQ15" i="49"/>
  <c r="BR15" i="49"/>
  <c r="BS15" i="49"/>
  <c r="BT15" i="49"/>
  <c r="BU15" i="49"/>
  <c r="BV15" i="49"/>
  <c r="BW15" i="49"/>
  <c r="BX15" i="49"/>
  <c r="BY15" i="49"/>
  <c r="BZ15" i="49"/>
  <c r="CA15" i="49"/>
  <c r="CB15" i="49"/>
  <c r="CC15" i="49"/>
  <c r="CD15" i="49"/>
  <c r="CE15" i="49"/>
  <c r="CF15" i="49"/>
  <c r="CG15" i="49"/>
  <c r="CH15" i="49"/>
  <c r="CI15" i="49"/>
  <c r="CJ15" i="49"/>
  <c r="CK15" i="49"/>
  <c r="CL15" i="49"/>
  <c r="CM15" i="49"/>
  <c r="CN15" i="49"/>
  <c r="CO15" i="49"/>
  <c r="CP15" i="49"/>
  <c r="CQ15" i="49"/>
  <c r="CR15" i="49"/>
  <c r="CS15" i="49"/>
  <c r="CT15" i="49"/>
  <c r="CU15" i="49"/>
  <c r="CV15" i="49"/>
  <c r="CW15" i="49"/>
  <c r="CX15" i="49"/>
  <c r="CY15" i="49"/>
  <c r="CZ15" i="49"/>
  <c r="DA15" i="49"/>
  <c r="DB15" i="49"/>
  <c r="DC15" i="49"/>
  <c r="DD15" i="49"/>
  <c r="DE15" i="49"/>
  <c r="DF15" i="49"/>
  <c r="DG15" i="49"/>
  <c r="DH15" i="49"/>
  <c r="DI15" i="49"/>
  <c r="DJ15" i="49"/>
  <c r="DK15" i="49"/>
  <c r="DL15" i="49"/>
  <c r="DM15" i="49"/>
  <c r="DN15" i="49"/>
  <c r="DO15" i="49"/>
  <c r="DP15" i="49"/>
  <c r="DQ15" i="49"/>
  <c r="DR15" i="49"/>
  <c r="DS15" i="49"/>
  <c r="DT15" i="49"/>
  <c r="DU15" i="49"/>
  <c r="DV15" i="49"/>
  <c r="DW15" i="49"/>
  <c r="DX15" i="49"/>
  <c r="DY15" i="49"/>
  <c r="DZ15" i="49"/>
  <c r="EA15" i="49"/>
  <c r="EB15" i="49"/>
  <c r="EC15" i="49"/>
  <c r="ED15" i="49"/>
  <c r="EE15" i="49"/>
  <c r="EF15" i="49"/>
  <c r="EG15" i="49"/>
  <c r="EH15" i="49"/>
  <c r="EI15" i="49"/>
  <c r="EJ15" i="49"/>
  <c r="EK15" i="49"/>
  <c r="EL15" i="49"/>
  <c r="EM15" i="49"/>
  <c r="EN15" i="49"/>
  <c r="EO15" i="49"/>
  <c r="EP15" i="49"/>
  <c r="EQ15" i="49"/>
  <c r="ER15" i="49"/>
  <c r="ES15" i="49"/>
  <c r="ET15" i="49"/>
  <c r="EU15" i="49"/>
  <c r="EV15" i="49"/>
  <c r="EW15" i="49"/>
  <c r="EX15" i="49"/>
  <c r="EY15" i="49"/>
  <c r="EZ15" i="49"/>
  <c r="FA15" i="49"/>
  <c r="FB15" i="49"/>
  <c r="FC15" i="49"/>
  <c r="FD15" i="49"/>
  <c r="FE15" i="49"/>
  <c r="FF15" i="49"/>
  <c r="FG15" i="49"/>
  <c r="FH15" i="49"/>
  <c r="FI15" i="49"/>
  <c r="FJ15" i="49"/>
  <c r="FK15" i="49"/>
  <c r="FL15" i="49"/>
  <c r="FM15" i="49"/>
  <c r="FN15" i="49"/>
  <c r="FO15" i="49"/>
  <c r="FP15" i="49"/>
  <c r="FQ15" i="49"/>
  <c r="FR15" i="49"/>
  <c r="FS15" i="49"/>
  <c r="FT15" i="49"/>
  <c r="FU15" i="49"/>
  <c r="FV15" i="49"/>
  <c r="FW15" i="49"/>
  <c r="FX15" i="49"/>
  <c r="FY15" i="49"/>
  <c r="FZ15" i="49"/>
  <c r="GA15" i="49"/>
  <c r="GB15" i="49"/>
  <c r="GC15" i="49"/>
  <c r="GD15" i="49"/>
  <c r="GE15" i="49"/>
  <c r="GF15" i="49"/>
  <c r="GG15" i="49"/>
  <c r="GH15" i="49"/>
  <c r="GI15" i="49"/>
  <c r="GJ15" i="49"/>
  <c r="GK15" i="49"/>
  <c r="GL15" i="49"/>
  <c r="GM15" i="49"/>
  <c r="GN15" i="49"/>
  <c r="GO15" i="49"/>
  <c r="GP15" i="49"/>
  <c r="GQ15" i="49"/>
  <c r="GR15" i="49"/>
  <c r="GS15" i="49"/>
  <c r="GT15" i="49"/>
  <c r="GU15" i="49"/>
  <c r="GV15" i="49"/>
  <c r="GW15" i="49"/>
  <c r="GX15" i="49"/>
  <c r="GY15" i="49"/>
  <c r="GZ15" i="49"/>
  <c r="HA15" i="49"/>
  <c r="HB15" i="49"/>
  <c r="HC15" i="49"/>
  <c r="HD15" i="49"/>
  <c r="HE15" i="49"/>
  <c r="HF15" i="49"/>
  <c r="HG15" i="49"/>
  <c r="HH15" i="49"/>
  <c r="HI15" i="49"/>
  <c r="HJ15" i="49"/>
  <c r="HK15" i="49"/>
  <c r="HL15" i="49"/>
  <c r="HM15" i="49"/>
  <c r="HN15" i="49"/>
  <c r="HO15" i="49"/>
  <c r="HP15" i="49"/>
  <c r="HQ15" i="49"/>
  <c r="HR15" i="49"/>
  <c r="HS15" i="49"/>
  <c r="HT15" i="49"/>
  <c r="HU15" i="49"/>
  <c r="HV15" i="49"/>
  <c r="HW15" i="49"/>
  <c r="HX15" i="49"/>
  <c r="HY15" i="49"/>
  <c r="HZ15" i="49"/>
  <c r="IA15" i="49"/>
  <c r="IB15" i="49"/>
  <c r="IC15" i="49"/>
  <c r="ID15" i="49"/>
  <c r="IE15" i="49"/>
  <c r="IF15" i="49"/>
  <c r="IG15" i="49"/>
  <c r="IH15" i="49"/>
  <c r="II15" i="49"/>
  <c r="IJ15" i="49"/>
  <c r="IK15" i="49"/>
  <c r="IL15" i="49"/>
  <c r="IM15" i="49"/>
  <c r="IN15" i="49"/>
  <c r="IO15" i="49"/>
  <c r="IP15" i="49"/>
  <c r="IQ15" i="49"/>
  <c r="IR15" i="49"/>
  <c r="IS15" i="49"/>
  <c r="IT15" i="49"/>
  <c r="IU15" i="49"/>
  <c r="IV15" i="49"/>
  <c r="F16" i="49"/>
  <c r="G16" i="49"/>
  <c r="H16" i="49"/>
  <c r="I16" i="49"/>
  <c r="J16" i="49"/>
  <c r="K16" i="49"/>
  <c r="L16" i="49"/>
  <c r="M16" i="49"/>
  <c r="N16" i="49"/>
  <c r="O16" i="49"/>
  <c r="P16" i="49"/>
  <c r="Q16" i="49"/>
  <c r="R16" i="49"/>
  <c r="S16" i="49"/>
  <c r="T16" i="49"/>
  <c r="U16" i="49"/>
  <c r="V16" i="49"/>
  <c r="W16" i="49"/>
  <c r="X16" i="49"/>
  <c r="Y16" i="49"/>
  <c r="Z16" i="49"/>
  <c r="AA16" i="49"/>
  <c r="AB16" i="49"/>
  <c r="AC16" i="49"/>
  <c r="AD16" i="49"/>
  <c r="AE16" i="49"/>
  <c r="AF16" i="49"/>
  <c r="AG16" i="49"/>
  <c r="AH16" i="49"/>
  <c r="AI16" i="49"/>
  <c r="AJ16" i="49"/>
  <c r="AK16" i="49"/>
  <c r="AL16" i="49"/>
  <c r="AM16" i="49"/>
  <c r="AN16" i="49"/>
  <c r="AO16" i="49"/>
  <c r="AP16" i="49"/>
  <c r="AQ16" i="49"/>
  <c r="AR16" i="49"/>
  <c r="AS16" i="49"/>
  <c r="AT16" i="49"/>
  <c r="AU16" i="49"/>
  <c r="AV16" i="49"/>
  <c r="AW16" i="49"/>
  <c r="AX16" i="49"/>
  <c r="AY16" i="49"/>
  <c r="AZ16" i="49"/>
  <c r="BA16" i="49"/>
  <c r="BB16" i="49"/>
  <c r="BC16" i="49"/>
  <c r="BD16" i="49"/>
  <c r="BE16" i="49"/>
  <c r="BF16" i="49"/>
  <c r="BG16" i="49"/>
  <c r="BH16" i="49"/>
  <c r="BI16" i="49"/>
  <c r="BJ16" i="49"/>
  <c r="BK16" i="49"/>
  <c r="BL16" i="49"/>
  <c r="BM16" i="49"/>
  <c r="BN16" i="49"/>
  <c r="BO16" i="49"/>
  <c r="BP16" i="49"/>
  <c r="BQ16" i="49"/>
  <c r="BR16" i="49"/>
  <c r="BS16" i="49"/>
  <c r="BT16" i="49"/>
  <c r="BU16" i="49"/>
  <c r="BV16" i="49"/>
  <c r="BW16" i="49"/>
  <c r="BX16" i="49"/>
  <c r="BY16" i="49"/>
  <c r="BZ16" i="49"/>
  <c r="CA16" i="49"/>
  <c r="CB16" i="49"/>
  <c r="CC16" i="49"/>
  <c r="CD16" i="49"/>
  <c r="CE16" i="49"/>
  <c r="CF16" i="49"/>
  <c r="CG16" i="49"/>
  <c r="CH16" i="49"/>
  <c r="CI16" i="49"/>
  <c r="CJ16" i="49"/>
  <c r="CK16" i="49"/>
  <c r="CL16" i="49"/>
  <c r="CM16" i="49"/>
  <c r="CN16" i="49"/>
  <c r="CO16" i="49"/>
  <c r="CP16" i="49"/>
  <c r="CQ16" i="49"/>
  <c r="CR16" i="49"/>
  <c r="CS16" i="49"/>
  <c r="CT16" i="49"/>
  <c r="CU16" i="49"/>
  <c r="CV16" i="49"/>
  <c r="CW16" i="49"/>
  <c r="CX16" i="49"/>
  <c r="CY16" i="49"/>
  <c r="CZ16" i="49"/>
  <c r="DA16" i="49"/>
  <c r="DB16" i="49"/>
  <c r="DC16" i="49"/>
  <c r="DD16" i="49"/>
  <c r="DE16" i="49"/>
  <c r="DF16" i="49"/>
  <c r="DG16" i="49"/>
  <c r="DH16" i="49"/>
  <c r="DI16" i="49"/>
  <c r="DJ16" i="49"/>
  <c r="DK16" i="49"/>
  <c r="DL16" i="49"/>
  <c r="DM16" i="49"/>
  <c r="DN16" i="49"/>
  <c r="DO16" i="49"/>
  <c r="DP16" i="49"/>
  <c r="DQ16" i="49"/>
  <c r="DR16" i="49"/>
  <c r="DS16" i="49"/>
  <c r="DT16" i="49"/>
  <c r="DU16" i="49"/>
  <c r="DV16" i="49"/>
  <c r="DW16" i="49"/>
  <c r="DX16" i="49"/>
  <c r="DY16" i="49"/>
  <c r="DZ16" i="49"/>
  <c r="EA16" i="49"/>
  <c r="EB16" i="49"/>
  <c r="EC16" i="49"/>
  <c r="ED16" i="49"/>
  <c r="EE16" i="49"/>
  <c r="EF16" i="49"/>
  <c r="EG16" i="49"/>
  <c r="EH16" i="49"/>
  <c r="EI16" i="49"/>
  <c r="EJ16" i="49"/>
  <c r="EK16" i="49"/>
  <c r="EL16" i="49"/>
  <c r="EM16" i="49"/>
  <c r="EN16" i="49"/>
  <c r="EO16" i="49"/>
  <c r="EP16" i="49"/>
  <c r="EQ16" i="49"/>
  <c r="ER16" i="49"/>
  <c r="ES16" i="49"/>
  <c r="ET16" i="49"/>
  <c r="EU16" i="49"/>
  <c r="EV16" i="49"/>
  <c r="EW16" i="49"/>
  <c r="EX16" i="49"/>
  <c r="EY16" i="49"/>
  <c r="EZ16" i="49"/>
  <c r="FA16" i="49"/>
  <c r="FB16" i="49"/>
  <c r="FC16" i="49"/>
  <c r="FD16" i="49"/>
  <c r="FE16" i="49"/>
  <c r="FF16" i="49"/>
  <c r="FG16" i="49"/>
  <c r="FH16" i="49"/>
  <c r="FI16" i="49"/>
  <c r="FJ16" i="49"/>
  <c r="FK16" i="49"/>
  <c r="FL16" i="49"/>
  <c r="FM16" i="49"/>
  <c r="FN16" i="49"/>
  <c r="FO16" i="49"/>
  <c r="FP16" i="49"/>
  <c r="FQ16" i="49"/>
  <c r="FR16" i="49"/>
  <c r="FS16" i="49"/>
  <c r="FT16" i="49"/>
  <c r="FU16" i="49"/>
  <c r="FV16" i="49"/>
  <c r="FW16" i="49"/>
  <c r="FX16" i="49"/>
  <c r="FY16" i="49"/>
  <c r="FZ16" i="49"/>
  <c r="GA16" i="49"/>
  <c r="GB16" i="49"/>
  <c r="GC16" i="49"/>
  <c r="GD16" i="49"/>
  <c r="GE16" i="49"/>
  <c r="GF16" i="49"/>
  <c r="GG16" i="49"/>
  <c r="GH16" i="49"/>
  <c r="GI16" i="49"/>
  <c r="GJ16" i="49"/>
  <c r="GK16" i="49"/>
  <c r="GL16" i="49"/>
  <c r="GM16" i="49"/>
  <c r="GN16" i="49"/>
  <c r="GO16" i="49"/>
  <c r="GP16" i="49"/>
  <c r="GQ16" i="49"/>
  <c r="GR16" i="49"/>
  <c r="GS16" i="49"/>
  <c r="GT16" i="49"/>
  <c r="GU16" i="49"/>
  <c r="GV16" i="49"/>
  <c r="GW16" i="49"/>
  <c r="GX16" i="49"/>
  <c r="GY16" i="49"/>
  <c r="GZ16" i="49"/>
  <c r="HA16" i="49"/>
  <c r="HB16" i="49"/>
  <c r="HC16" i="49"/>
  <c r="HD16" i="49"/>
  <c r="HE16" i="49"/>
  <c r="HF16" i="49"/>
  <c r="HG16" i="49"/>
  <c r="HH16" i="49"/>
  <c r="HI16" i="49"/>
  <c r="HJ16" i="49"/>
  <c r="HK16" i="49"/>
  <c r="HL16" i="49"/>
  <c r="HM16" i="49"/>
  <c r="HN16" i="49"/>
  <c r="HO16" i="49"/>
  <c r="HP16" i="49"/>
  <c r="HQ16" i="49"/>
  <c r="HR16" i="49"/>
  <c r="HS16" i="49"/>
  <c r="HT16" i="49"/>
  <c r="HU16" i="49"/>
  <c r="HV16" i="49"/>
  <c r="HW16" i="49"/>
  <c r="HX16" i="49"/>
  <c r="HY16" i="49"/>
  <c r="HZ16" i="49"/>
  <c r="IA16" i="49"/>
  <c r="IB16" i="49"/>
  <c r="IC16" i="49"/>
  <c r="ID16" i="49"/>
  <c r="IE16" i="49"/>
  <c r="IF16" i="49"/>
  <c r="IG16" i="49"/>
  <c r="IH16" i="49"/>
  <c r="II16" i="49"/>
  <c r="IJ16" i="49"/>
  <c r="IK16" i="49"/>
  <c r="IL16" i="49"/>
  <c r="IM16" i="49"/>
  <c r="IN16" i="49"/>
  <c r="IO16" i="49"/>
  <c r="IP16" i="49"/>
  <c r="IQ16" i="49"/>
  <c r="IR16" i="49"/>
  <c r="IS16" i="49"/>
  <c r="IT16" i="49"/>
  <c r="IU16" i="49"/>
  <c r="IV16" i="49"/>
  <c r="F17" i="49"/>
  <c r="G17" i="49"/>
  <c r="H17" i="49"/>
  <c r="I17" i="49"/>
  <c r="J17" i="49"/>
  <c r="K17" i="49"/>
  <c r="L17" i="49"/>
  <c r="M17" i="49"/>
  <c r="N17" i="49"/>
  <c r="O17" i="49"/>
  <c r="P17" i="49"/>
  <c r="Q17" i="49"/>
  <c r="R17" i="49"/>
  <c r="S17" i="49"/>
  <c r="T17" i="49"/>
  <c r="U17" i="49"/>
  <c r="V17" i="49"/>
  <c r="W17" i="49"/>
  <c r="X17" i="49"/>
  <c r="Y17" i="49"/>
  <c r="Z17" i="49"/>
  <c r="AA17" i="49"/>
  <c r="AB17" i="49"/>
  <c r="AC17" i="49"/>
  <c r="AD17" i="49"/>
  <c r="AE17" i="49"/>
  <c r="AF17" i="49"/>
  <c r="AG17" i="49"/>
  <c r="AH17" i="49"/>
  <c r="AI17" i="49"/>
  <c r="AJ17" i="49"/>
  <c r="AK17" i="49"/>
  <c r="AL17" i="49"/>
  <c r="AM17" i="49"/>
  <c r="AN17" i="49"/>
  <c r="AO17" i="49"/>
  <c r="AP17" i="49"/>
  <c r="AQ17" i="49"/>
  <c r="AR17" i="49"/>
  <c r="AS17" i="49"/>
  <c r="AT17" i="49"/>
  <c r="AU17" i="49"/>
  <c r="AV17" i="49"/>
  <c r="AW17" i="49"/>
  <c r="F1" i="49"/>
  <c r="G1" i="49"/>
  <c r="H1" i="49"/>
  <c r="I1" i="49"/>
  <c r="J1" i="49"/>
  <c r="K1" i="49"/>
  <c r="L1" i="49"/>
  <c r="M1" i="49"/>
  <c r="N1" i="49"/>
  <c r="O1" i="49"/>
  <c r="P1" i="49"/>
  <c r="Q1" i="49"/>
  <c r="R1" i="49"/>
  <c r="S1" i="49"/>
  <c r="T1" i="49"/>
  <c r="U1" i="49"/>
  <c r="V1" i="49"/>
  <c r="W1" i="49"/>
  <c r="X1" i="49"/>
  <c r="Y1" i="49"/>
  <c r="Z1" i="49"/>
  <c r="AA1" i="49"/>
  <c r="AB1" i="49"/>
  <c r="AC1" i="49"/>
  <c r="AD1" i="49"/>
  <c r="AE1" i="49"/>
  <c r="AF1" i="49"/>
  <c r="AG1" i="49"/>
  <c r="AH1" i="49"/>
  <c r="AI1" i="49"/>
  <c r="AJ1" i="49"/>
  <c r="AK1" i="49"/>
  <c r="AL1" i="49"/>
  <c r="AM1" i="49"/>
  <c r="AN1" i="49"/>
  <c r="AO1" i="49"/>
  <c r="AP1" i="49"/>
  <c r="AQ1" i="49"/>
  <c r="AR1" i="49"/>
  <c r="AS1" i="49"/>
  <c r="AT1" i="49"/>
  <c r="AU1" i="49"/>
  <c r="AV1" i="49"/>
  <c r="AW1" i="49"/>
  <c r="AX1" i="49"/>
  <c r="AY1" i="49"/>
  <c r="AZ1" i="49"/>
  <c r="BA1" i="49"/>
  <c r="BB1" i="49"/>
  <c r="BC1" i="49"/>
  <c r="BD1" i="49"/>
  <c r="BE1" i="49"/>
  <c r="BF1" i="49"/>
  <c r="BG1" i="49"/>
  <c r="BH1" i="49"/>
  <c r="BI1" i="49"/>
  <c r="BJ1" i="49"/>
  <c r="BK1" i="49"/>
  <c r="BL1" i="49"/>
  <c r="BM1" i="49"/>
  <c r="BN1" i="49"/>
  <c r="BO1" i="49"/>
  <c r="BP1" i="49"/>
  <c r="BQ1" i="49"/>
  <c r="BR1" i="49"/>
  <c r="BS1" i="49"/>
  <c r="BT1" i="49"/>
  <c r="BU1" i="49"/>
  <c r="BV1" i="49"/>
  <c r="BW1" i="49"/>
  <c r="BX1" i="49"/>
  <c r="BY1" i="49"/>
  <c r="BZ1" i="49"/>
  <c r="CA1" i="49"/>
  <c r="CB1" i="49"/>
  <c r="CC1" i="49"/>
  <c r="CD1" i="49"/>
  <c r="CE1" i="49"/>
  <c r="CF1" i="49"/>
  <c r="CG1" i="49"/>
  <c r="CH1" i="49"/>
  <c r="CI1" i="49"/>
  <c r="CJ1" i="49"/>
  <c r="CK1" i="49"/>
  <c r="CL1" i="49"/>
  <c r="CM1" i="49"/>
  <c r="CN1" i="49"/>
  <c r="CO1" i="49"/>
  <c r="CP1" i="49"/>
  <c r="CQ1" i="49"/>
  <c r="CR1" i="49"/>
  <c r="CS1" i="49"/>
  <c r="CT1" i="49"/>
  <c r="CU1" i="49"/>
  <c r="CV1" i="49"/>
  <c r="CW1" i="49"/>
  <c r="CX1" i="49"/>
  <c r="CY1" i="49"/>
  <c r="CZ1" i="49"/>
  <c r="DA1" i="49"/>
  <c r="DB1" i="49"/>
  <c r="DC1" i="49"/>
  <c r="DD1" i="49"/>
  <c r="DE1" i="49"/>
  <c r="DF1" i="49"/>
  <c r="DG1" i="49"/>
  <c r="DH1" i="49"/>
  <c r="DI1" i="49"/>
  <c r="DJ1" i="49"/>
  <c r="DK1" i="49"/>
  <c r="DL1" i="49"/>
  <c r="DM1" i="49"/>
  <c r="DN1" i="49"/>
  <c r="DO1" i="49"/>
  <c r="DP1" i="49"/>
  <c r="DQ1" i="49"/>
  <c r="DR1" i="49"/>
  <c r="DS1" i="49"/>
  <c r="DT1" i="49"/>
  <c r="DU1" i="49"/>
  <c r="DV1" i="49"/>
  <c r="DW1" i="49"/>
  <c r="DX1" i="49"/>
  <c r="DY1" i="49"/>
  <c r="DZ1" i="49"/>
  <c r="EA1" i="49"/>
  <c r="EB1" i="49"/>
  <c r="EC1" i="49"/>
  <c r="ED1" i="49"/>
  <c r="EE1" i="49"/>
  <c r="EF1" i="49"/>
  <c r="EG1" i="49"/>
  <c r="EH1" i="49"/>
  <c r="EI1" i="49"/>
  <c r="EJ1" i="49"/>
  <c r="EK1" i="49"/>
  <c r="EL1" i="49"/>
  <c r="EM1" i="49"/>
  <c r="EN1" i="49"/>
  <c r="EO1" i="49"/>
  <c r="EP1" i="49"/>
  <c r="EQ1" i="49"/>
  <c r="ER1" i="49"/>
  <c r="ES1" i="49"/>
  <c r="ET1" i="49"/>
  <c r="EU1" i="49"/>
  <c r="EV1" i="49"/>
  <c r="EW1" i="49"/>
  <c r="EX1" i="49"/>
  <c r="EY1" i="49"/>
  <c r="EZ1" i="49"/>
  <c r="FA1" i="49"/>
  <c r="FB1" i="49"/>
  <c r="FC1" i="49"/>
  <c r="FD1" i="49"/>
  <c r="FE1" i="49"/>
  <c r="FF1" i="49"/>
  <c r="FG1" i="49"/>
  <c r="FH1" i="49"/>
  <c r="FI1" i="49"/>
  <c r="FJ1" i="49"/>
  <c r="FK1" i="49"/>
  <c r="FL1" i="49"/>
  <c r="FM1" i="49"/>
  <c r="FN1" i="49"/>
  <c r="FO1" i="49"/>
  <c r="FP1" i="49"/>
  <c r="FQ1" i="49"/>
  <c r="FR1" i="49"/>
  <c r="FS1" i="49"/>
  <c r="FT1" i="49"/>
  <c r="FU1" i="49"/>
  <c r="FV1" i="49"/>
  <c r="FW1" i="49"/>
  <c r="FX1" i="49"/>
  <c r="FY1" i="49"/>
  <c r="FZ1" i="49"/>
  <c r="GA1" i="49"/>
  <c r="GB1" i="49"/>
  <c r="GC1" i="49"/>
  <c r="GD1" i="49"/>
  <c r="GE1" i="49"/>
  <c r="GF1" i="49"/>
  <c r="GG1" i="49"/>
  <c r="GH1" i="49"/>
  <c r="GI1" i="49"/>
  <c r="GJ1" i="49"/>
  <c r="GK1" i="49"/>
  <c r="GL1" i="49"/>
  <c r="GM1" i="49"/>
  <c r="GN1" i="49"/>
  <c r="GO1" i="49"/>
  <c r="GP1" i="49"/>
  <c r="GQ1" i="49"/>
  <c r="GR1" i="49"/>
  <c r="GS1" i="49"/>
  <c r="GT1" i="49"/>
  <c r="GU1" i="49"/>
  <c r="GV1" i="49"/>
  <c r="GW1" i="49"/>
  <c r="GX1" i="49"/>
  <c r="GY1" i="49"/>
  <c r="GZ1" i="49"/>
  <c r="HA1" i="49"/>
  <c r="HB1" i="49"/>
  <c r="HC1" i="49"/>
  <c r="HD1" i="49"/>
  <c r="HE1" i="49"/>
  <c r="HF1" i="49"/>
  <c r="HG1" i="49"/>
  <c r="HH1" i="49"/>
  <c r="HI1" i="49"/>
  <c r="HJ1" i="49"/>
  <c r="HK1" i="49"/>
  <c r="HL1" i="49"/>
  <c r="HM1" i="49"/>
  <c r="HN1" i="49"/>
  <c r="HO1" i="49"/>
  <c r="HP1" i="49"/>
  <c r="HQ1" i="49"/>
  <c r="HR1" i="49"/>
  <c r="HS1" i="49"/>
  <c r="HT1" i="49"/>
  <c r="HU1" i="49"/>
  <c r="HV1" i="49"/>
  <c r="HW1" i="49"/>
  <c r="HX1" i="49"/>
  <c r="HY1" i="49"/>
  <c r="HZ1" i="49"/>
  <c r="IA1" i="49"/>
  <c r="IB1" i="49"/>
  <c r="IC1" i="49"/>
  <c r="ID1" i="49"/>
  <c r="IE1" i="49"/>
  <c r="IF1" i="49"/>
  <c r="IG1" i="49"/>
  <c r="IH1" i="49"/>
  <c r="II1" i="49"/>
  <c r="IJ1" i="49"/>
  <c r="IK1" i="49"/>
  <c r="IL1" i="49"/>
  <c r="IM1" i="49"/>
  <c r="IN1" i="49"/>
  <c r="IO1" i="49"/>
  <c r="IP1" i="49"/>
  <c r="IQ1" i="49"/>
  <c r="IR1" i="49"/>
  <c r="IS1" i="49"/>
  <c r="IT1" i="49"/>
  <c r="IU1" i="49"/>
  <c r="IV1" i="49"/>
  <c r="E5" i="28" l="1"/>
  <c r="E5" i="44"/>
  <c r="BY5" i="44"/>
  <c r="BX5" i="44"/>
  <c r="BW5" i="44"/>
  <c r="BV5" i="44"/>
  <c r="BU5" i="44"/>
  <c r="BT5" i="44"/>
  <c r="BS5" i="44"/>
  <c r="BR5" i="44"/>
  <c r="BQ5" i="44"/>
  <c r="BP5" i="44"/>
  <c r="BO5" i="44"/>
  <c r="BN5" i="44"/>
  <c r="BM5" i="44"/>
  <c r="BL5" i="44"/>
  <c r="BK5" i="44"/>
  <c r="BJ5" i="44"/>
  <c r="BI5" i="44"/>
  <c r="BH5" i="44"/>
  <c r="BG5" i="44"/>
  <c r="BF5" i="44"/>
  <c r="BE5" i="44"/>
  <c r="BD5" i="44"/>
  <c r="BC5" i="44"/>
  <c r="BB5" i="44"/>
  <c r="BA5" i="44"/>
  <c r="AZ5" i="44"/>
  <c r="AY5" i="44"/>
  <c r="AX5" i="44"/>
  <c r="AW5" i="44"/>
  <c r="AV5" i="44"/>
  <c r="AU5" i="44"/>
  <c r="AT5" i="44"/>
  <c r="AS5" i="44"/>
  <c r="AR5" i="44"/>
  <c r="AQ5" i="44"/>
  <c r="AP5" i="44"/>
  <c r="AO5" i="44"/>
  <c r="AN5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P5" i="44"/>
  <c r="O5" i="44"/>
  <c r="N5" i="44"/>
  <c r="M5" i="44"/>
  <c r="L5" i="44"/>
  <c r="K5" i="44"/>
  <c r="J5" i="44"/>
  <c r="BY5" i="28"/>
  <c r="BX5" i="28"/>
  <c r="BW5" i="28"/>
  <c r="BV5" i="28"/>
  <c r="BU5" i="28"/>
  <c r="BT5" i="28"/>
  <c r="BS5" i="28"/>
  <c r="BR5" i="28"/>
  <c r="BQ5" i="28"/>
  <c r="BP5" i="28"/>
  <c r="BO5" i="28"/>
  <c r="BN5" i="28"/>
  <c r="BM5" i="28"/>
  <c r="BL5" i="28"/>
  <c r="BK5" i="28"/>
  <c r="BJ5" i="28"/>
  <c r="BI5" i="28"/>
  <c r="BH5" i="28"/>
  <c r="BG5" i="28"/>
  <c r="BF5" i="28"/>
  <c r="BE5" i="28"/>
  <c r="BD5" i="28"/>
  <c r="BC5" i="28"/>
  <c r="BB5" i="28"/>
  <c r="BA5" i="28"/>
  <c r="AZ5" i="28"/>
  <c r="AY5" i="28"/>
  <c r="AX5" i="28"/>
  <c r="AW5" i="28"/>
  <c r="AV5" i="28"/>
  <c r="AU5" i="28"/>
  <c r="AT5" i="28"/>
  <c r="AS5" i="28"/>
  <c r="AR5" i="28"/>
  <c r="AQ5" i="28"/>
  <c r="AP5" i="28"/>
  <c r="AO5" i="28"/>
  <c r="AN5" i="28"/>
  <c r="AM5" i="28"/>
  <c r="AL5" i="28"/>
  <c r="AK5" i="28"/>
  <c r="AJ5" i="28"/>
  <c r="AI5" i="28"/>
  <c r="AH5" i="28"/>
  <c r="AG5" i="28"/>
  <c r="AF5" i="28"/>
  <c r="AE5" i="28"/>
  <c r="AD5" i="28"/>
  <c r="AC5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J9" i="44" l="1"/>
  <c r="K9" i="44"/>
  <c r="L9" i="44" s="1"/>
  <c r="M9" i="44" s="1"/>
  <c r="N9" i="44" s="1"/>
  <c r="O9" i="44" s="1"/>
  <c r="P9" i="44" s="1"/>
  <c r="Q9" i="44" s="1"/>
  <c r="R9" i="44" s="1"/>
  <c r="S9" i="44" s="1"/>
  <c r="T9" i="44" s="1"/>
  <c r="U9" i="44" s="1"/>
  <c r="V9" i="44" s="1"/>
  <c r="W9" i="44" s="1"/>
  <c r="X9" i="44" s="1"/>
  <c r="Y9" i="44" s="1"/>
  <c r="Z9" i="44" s="1"/>
  <c r="Y10" i="44"/>
  <c r="Y14" i="44"/>
  <c r="X10" i="44"/>
  <c r="X14" i="44"/>
  <c r="W10" i="44"/>
  <c r="W14" i="44"/>
  <c r="V10" i="44"/>
  <c r="V14" i="44"/>
  <c r="U10" i="44"/>
  <c r="U14" i="44"/>
  <c r="T10" i="44"/>
  <c r="T14" i="44"/>
  <c r="S10" i="44"/>
  <c r="S14" i="44"/>
  <c r="R10" i="44"/>
  <c r="R14" i="44"/>
  <c r="Q10" i="44"/>
  <c r="Q14" i="44"/>
  <c r="P10" i="44"/>
  <c r="P14" i="44"/>
  <c r="O10" i="44"/>
  <c r="O14" i="44"/>
  <c r="N10" i="44"/>
  <c r="N14" i="44"/>
  <c r="M10" i="44"/>
  <c r="M14" i="44"/>
  <c r="L10" i="44"/>
  <c r="L14" i="44"/>
  <c r="K10" i="44"/>
  <c r="K14" i="44"/>
  <c r="J10" i="44"/>
  <c r="J14" i="44"/>
  <c r="F12" i="44"/>
  <c r="J15" i="44" s="1"/>
  <c r="K15" i="44" s="1"/>
  <c r="L15" i="44" s="1"/>
  <c r="M15" i="44" s="1"/>
  <c r="N15" i="44" s="1"/>
  <c r="O15" i="44" s="1"/>
  <c r="P15" i="44" s="1"/>
  <c r="Q15" i="44" s="1"/>
  <c r="R15" i="44" s="1"/>
  <c r="S15" i="44" s="1"/>
  <c r="T15" i="44" s="1"/>
  <c r="U15" i="44" s="1"/>
  <c r="V15" i="44" s="1"/>
  <c r="W15" i="44" s="1"/>
  <c r="F13" i="44"/>
  <c r="F17" i="44"/>
  <c r="I18" i="44"/>
  <c r="H18" i="44"/>
  <c r="G18" i="44"/>
  <c r="F18" i="44"/>
  <c r="E18" i="44"/>
  <c r="G17" i="44"/>
  <c r="E17" i="44"/>
  <c r="G13" i="44"/>
  <c r="E13" i="44"/>
  <c r="G12" i="44"/>
  <c r="F31" i="44"/>
  <c r="J12" i="28"/>
  <c r="I47" i="44"/>
  <c r="H47" i="44"/>
  <c r="G47" i="44"/>
  <c r="F47" i="44"/>
  <c r="E47" i="44"/>
  <c r="I42" i="44"/>
  <c r="H42" i="44"/>
  <c r="G42" i="44"/>
  <c r="F42" i="44"/>
  <c r="E42" i="44"/>
  <c r="I32" i="44"/>
  <c r="H32" i="44"/>
  <c r="G32" i="44"/>
  <c r="F32" i="44"/>
  <c r="E32" i="44"/>
  <c r="F40" i="44"/>
  <c r="F36" i="44"/>
  <c r="F37" i="44"/>
  <c r="F38" i="44" s="1"/>
  <c r="F41" i="44" s="1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F21" i="44"/>
  <c r="J25" i="44" s="1"/>
  <c r="J4" i="28" s="1"/>
  <c r="F22" i="44"/>
  <c r="E4" i="28"/>
  <c r="E3" i="28"/>
  <c r="E2" i="28"/>
  <c r="A1" i="28"/>
  <c r="G22" i="44"/>
  <c r="E22" i="44"/>
  <c r="G21" i="44"/>
  <c r="E21" i="44"/>
  <c r="G41" i="44"/>
  <c r="E41" i="44"/>
  <c r="G40" i="44"/>
  <c r="E40" i="44"/>
  <c r="G46" i="44"/>
  <c r="F46" i="44"/>
  <c r="E46" i="44"/>
  <c r="G37" i="44"/>
  <c r="E37" i="44"/>
  <c r="G36" i="44"/>
  <c r="E36" i="44"/>
  <c r="E4" i="44"/>
  <c r="I23" i="44"/>
  <c r="H23" i="44"/>
  <c r="G23" i="44"/>
  <c r="F23" i="44"/>
  <c r="I24" i="44"/>
  <c r="G24" i="44"/>
  <c r="F24" i="44"/>
  <c r="E24" i="44"/>
  <c r="E23" i="44"/>
  <c r="E3" i="44"/>
  <c r="I53" i="44"/>
  <c r="G53" i="44"/>
  <c r="F53" i="44"/>
  <c r="E53" i="44"/>
  <c r="I54" i="44"/>
  <c r="G54" i="44"/>
  <c r="F54" i="44"/>
  <c r="E54" i="44"/>
  <c r="G31" i="44"/>
  <c r="E31" i="44"/>
  <c r="I10" i="28"/>
  <c r="G10" i="28"/>
  <c r="F10" i="28"/>
  <c r="E10" i="28"/>
  <c r="E2" i="44"/>
  <c r="A1" i="48"/>
  <c r="A1" i="44"/>
  <c r="E12" i="44"/>
  <c r="I14" i="44"/>
  <c r="G14" i="44"/>
  <c r="F14" i="44"/>
  <c r="E14" i="44"/>
  <c r="J4" i="44" l="1"/>
  <c r="X15" i="44"/>
  <c r="W18" i="44"/>
  <c r="W19" i="44" s="1"/>
  <c r="J18" i="44"/>
  <c r="J19" i="44" s="1"/>
  <c r="K18" i="44"/>
  <c r="K19" i="44" s="1"/>
  <c r="L18" i="44"/>
  <c r="L19" i="44" s="1"/>
  <c r="M18" i="44"/>
  <c r="M19" i="44" s="1"/>
  <c r="N18" i="44"/>
  <c r="N19" i="44" s="1"/>
  <c r="O18" i="44"/>
  <c r="O19" i="44" s="1"/>
  <c r="P18" i="44"/>
  <c r="P19" i="44" s="1"/>
  <c r="Q18" i="44"/>
  <c r="Q19" i="44" s="1"/>
  <c r="R18" i="44"/>
  <c r="R19" i="44" s="1"/>
  <c r="S18" i="44"/>
  <c r="S19" i="44" s="1"/>
  <c r="T18" i="44"/>
  <c r="T19" i="44" s="1"/>
  <c r="U18" i="44"/>
  <c r="U19" i="44" s="1"/>
  <c r="V18" i="44"/>
  <c r="V19" i="44" s="1"/>
  <c r="Z10" i="44"/>
  <c r="AA9" i="44"/>
  <c r="AB9" i="44" l="1"/>
  <c r="AA10" i="44"/>
  <c r="T32" i="44"/>
  <c r="T33" i="44" s="1"/>
  <c r="T47" i="44"/>
  <c r="T48" i="44" s="1"/>
  <c r="T42" i="44"/>
  <c r="T43" i="44" s="1"/>
  <c r="T54" i="44" s="1"/>
  <c r="T23" i="44"/>
  <c r="T2" i="28"/>
  <c r="T2" i="44"/>
  <c r="P32" i="44"/>
  <c r="P33" i="44" s="1"/>
  <c r="P47" i="44"/>
  <c r="P48" i="44" s="1"/>
  <c r="P42" i="44"/>
  <c r="P43" i="44" s="1"/>
  <c r="P54" i="44" s="1"/>
  <c r="P23" i="44"/>
  <c r="P2" i="28"/>
  <c r="P2" i="44"/>
  <c r="Z14" i="44"/>
  <c r="Z24" i="44"/>
  <c r="U32" i="44"/>
  <c r="U33" i="44" s="1"/>
  <c r="U47" i="44"/>
  <c r="U48" i="44" s="1"/>
  <c r="U42" i="44"/>
  <c r="U43" i="44" s="1"/>
  <c r="U54" i="44" s="1"/>
  <c r="U23" i="44"/>
  <c r="U2" i="28"/>
  <c r="U2" i="44"/>
  <c r="S47" i="44"/>
  <c r="S48" i="44" s="1"/>
  <c r="S32" i="44"/>
  <c r="S33" i="44" s="1"/>
  <c r="S42" i="44"/>
  <c r="S43" i="44" s="1"/>
  <c r="S54" i="44" s="1"/>
  <c r="S23" i="44"/>
  <c r="S2" i="28"/>
  <c r="S2" i="44"/>
  <c r="Q32" i="44"/>
  <c r="Q33" i="44" s="1"/>
  <c r="Q47" i="44"/>
  <c r="Q48" i="44" s="1"/>
  <c r="Q42" i="44"/>
  <c r="Q43" i="44" s="1"/>
  <c r="Q54" i="44" s="1"/>
  <c r="Q23" i="44"/>
  <c r="Q2" i="28"/>
  <c r="Q2" i="44"/>
  <c r="O47" i="44"/>
  <c r="O48" i="44" s="1"/>
  <c r="O32" i="44"/>
  <c r="O33" i="44" s="1"/>
  <c r="O42" i="44"/>
  <c r="O43" i="44" s="1"/>
  <c r="O54" i="44" s="1"/>
  <c r="O23" i="44"/>
  <c r="O2" i="28"/>
  <c r="O2" i="44"/>
  <c r="M32" i="44"/>
  <c r="M33" i="44" s="1"/>
  <c r="M47" i="44"/>
  <c r="M48" i="44" s="1"/>
  <c r="M42" i="44"/>
  <c r="M43" i="44" s="1"/>
  <c r="M54" i="44" s="1"/>
  <c r="M23" i="44"/>
  <c r="M2" i="28"/>
  <c r="M2" i="44"/>
  <c r="K47" i="44"/>
  <c r="K48" i="44" s="1"/>
  <c r="K32" i="44"/>
  <c r="K33" i="44" s="1"/>
  <c r="K42" i="44"/>
  <c r="K43" i="44" s="1"/>
  <c r="K54" i="44" s="1"/>
  <c r="K23" i="44"/>
  <c r="K25" i="44" s="1"/>
  <c r="K2" i="28"/>
  <c r="K2" i="44"/>
  <c r="W47" i="44"/>
  <c r="W48" i="44" s="1"/>
  <c r="W32" i="44"/>
  <c r="W33" i="44" s="1"/>
  <c r="W42" i="44"/>
  <c r="W43" i="44" s="1"/>
  <c r="W54" i="44" s="1"/>
  <c r="W23" i="44"/>
  <c r="W2" i="28"/>
  <c r="W2" i="44"/>
  <c r="V32" i="44"/>
  <c r="V33" i="44" s="1"/>
  <c r="V47" i="44"/>
  <c r="V48" i="44" s="1"/>
  <c r="V23" i="44"/>
  <c r="V42" i="44"/>
  <c r="V43" i="44" s="1"/>
  <c r="V54" i="44" s="1"/>
  <c r="V2" i="28"/>
  <c r="V2" i="44"/>
  <c r="R32" i="44"/>
  <c r="R33" i="44" s="1"/>
  <c r="R47" i="44"/>
  <c r="R48" i="44" s="1"/>
  <c r="R23" i="44"/>
  <c r="R42" i="44"/>
  <c r="R43" i="44" s="1"/>
  <c r="R54" i="44" s="1"/>
  <c r="R2" i="28"/>
  <c r="R2" i="44"/>
  <c r="N32" i="44"/>
  <c r="N33" i="44" s="1"/>
  <c r="N47" i="44"/>
  <c r="N48" i="44" s="1"/>
  <c r="N23" i="44"/>
  <c r="N42" i="44"/>
  <c r="N43" i="44" s="1"/>
  <c r="N54" i="44" s="1"/>
  <c r="N2" i="28"/>
  <c r="N2" i="44"/>
  <c r="L32" i="44"/>
  <c r="L33" i="44" s="1"/>
  <c r="L47" i="44"/>
  <c r="L48" i="44" s="1"/>
  <c r="L42" i="44"/>
  <c r="L43" i="44" s="1"/>
  <c r="L54" i="44" s="1"/>
  <c r="L23" i="44"/>
  <c r="L2" i="28"/>
  <c r="L2" i="44"/>
  <c r="J32" i="44"/>
  <c r="J33" i="44" s="1"/>
  <c r="J47" i="44"/>
  <c r="J48" i="44" s="1"/>
  <c r="J42" i="44"/>
  <c r="J43" i="44" s="1"/>
  <c r="J2" i="28"/>
  <c r="J23" i="44"/>
  <c r="J2" i="44"/>
  <c r="Y15" i="44"/>
  <c r="Y18" i="44" s="1"/>
  <c r="Y19" i="44" s="1"/>
  <c r="X18" i="44"/>
  <c r="X19" i="44" s="1"/>
  <c r="L25" i="44" l="1"/>
  <c r="L4" i="44" s="1"/>
  <c r="Y32" i="44"/>
  <c r="Y33" i="44" s="1"/>
  <c r="Y47" i="44"/>
  <c r="Y48" i="44" s="1"/>
  <c r="Y42" i="44"/>
  <c r="Y43" i="44" s="1"/>
  <c r="Y54" i="44" s="1"/>
  <c r="Y23" i="44"/>
  <c r="Y2" i="28"/>
  <c r="Y2" i="44"/>
  <c r="J54" i="44"/>
  <c r="J10" i="28"/>
  <c r="J15" i="28" s="1"/>
  <c r="K12" i="28" s="1"/>
  <c r="J53" i="44"/>
  <c r="J55" i="44" s="1"/>
  <c r="L10" i="28"/>
  <c r="L53" i="44"/>
  <c r="L55" i="44" s="1"/>
  <c r="N10" i="28"/>
  <c r="N53" i="44"/>
  <c r="N55" i="44" s="1"/>
  <c r="R10" i="28"/>
  <c r="R53" i="44"/>
  <c r="R55" i="44" s="1"/>
  <c r="V10" i="28"/>
  <c r="V53" i="44"/>
  <c r="V55" i="44" s="1"/>
  <c r="M10" i="28"/>
  <c r="M53" i="44"/>
  <c r="M55" i="44" s="1"/>
  <c r="Q10" i="28"/>
  <c r="Q53" i="44"/>
  <c r="Q55" i="44" s="1"/>
  <c r="U10" i="28"/>
  <c r="U53" i="44"/>
  <c r="U55" i="44" s="1"/>
  <c r="AA14" i="44"/>
  <c r="AA24" i="44"/>
  <c r="X32" i="44"/>
  <c r="X33" i="44" s="1"/>
  <c r="X47" i="44"/>
  <c r="X48" i="44" s="1"/>
  <c r="X42" i="44"/>
  <c r="X43" i="44" s="1"/>
  <c r="X54" i="44" s="1"/>
  <c r="X23" i="44"/>
  <c r="X2" i="28"/>
  <c r="X2" i="44"/>
  <c r="L4" i="28"/>
  <c r="W10" i="28"/>
  <c r="W53" i="44"/>
  <c r="W55" i="44" s="1"/>
  <c r="K4" i="28"/>
  <c r="K4" i="44"/>
  <c r="K10" i="28"/>
  <c r="K15" i="28" s="1"/>
  <c r="L12" i="28" s="1"/>
  <c r="K53" i="44"/>
  <c r="K55" i="44" s="1"/>
  <c r="M25" i="44"/>
  <c r="O10" i="28"/>
  <c r="O53" i="44"/>
  <c r="O55" i="44" s="1"/>
  <c r="S10" i="28"/>
  <c r="S53" i="44"/>
  <c r="S55" i="44" s="1"/>
  <c r="Z15" i="44"/>
  <c r="Z18" i="44" s="1"/>
  <c r="Z19" i="44" s="1"/>
  <c r="P10" i="28"/>
  <c r="P53" i="44"/>
  <c r="P55" i="44" s="1"/>
  <c r="T10" i="28"/>
  <c r="T53" i="44"/>
  <c r="T55" i="44" s="1"/>
  <c r="AB10" i="44"/>
  <c r="AC9" i="44"/>
  <c r="Z32" i="44" l="1"/>
  <c r="Z33" i="44" s="1"/>
  <c r="Z47" i="44"/>
  <c r="Z48" i="44" s="1"/>
  <c r="Z23" i="44"/>
  <c r="Z42" i="44"/>
  <c r="Z43" i="44" s="1"/>
  <c r="Z54" i="44" s="1"/>
  <c r="Z2" i="28"/>
  <c r="Z2" i="44"/>
  <c r="O3" i="28"/>
  <c r="O3" i="44"/>
  <c r="AB14" i="44"/>
  <c r="AB24" i="44"/>
  <c r="M4" i="28"/>
  <c r="M4" i="44"/>
  <c r="X10" i="28"/>
  <c r="X53" i="44"/>
  <c r="X55" i="44" s="1"/>
  <c r="AA15" i="44"/>
  <c r="AA18" i="44" s="1"/>
  <c r="AA19" i="44" s="1"/>
  <c r="U3" i="28"/>
  <c r="U3" i="44"/>
  <c r="Q3" i="28"/>
  <c r="Q3" i="44"/>
  <c r="M3" i="28"/>
  <c r="M3" i="44"/>
  <c r="V3" i="28"/>
  <c r="V3" i="44"/>
  <c r="N3" i="28"/>
  <c r="N3" i="44"/>
  <c r="N25" i="44"/>
  <c r="L15" i="28"/>
  <c r="M12" i="28" s="1"/>
  <c r="J3" i="28"/>
  <c r="J3" i="44"/>
  <c r="AD9" i="44"/>
  <c r="AC10" i="44"/>
  <c r="T3" i="28"/>
  <c r="T3" i="44"/>
  <c r="P3" i="28"/>
  <c r="P3" i="44"/>
  <c r="S3" i="28"/>
  <c r="S3" i="44"/>
  <c r="K3" i="28"/>
  <c r="K3" i="44"/>
  <c r="W3" i="28"/>
  <c r="W3" i="44"/>
  <c r="M15" i="28"/>
  <c r="N12" i="28" s="1"/>
  <c r="R3" i="28"/>
  <c r="R3" i="44"/>
  <c r="N15" i="28"/>
  <c r="O12" i="28" s="1"/>
  <c r="O15" i="28" s="1"/>
  <c r="P12" i="28" s="1"/>
  <c r="P15" i="28" s="1"/>
  <c r="Q12" i="28" s="1"/>
  <c r="Q15" i="28" s="1"/>
  <c r="R12" i="28" s="1"/>
  <c r="R15" i="28" s="1"/>
  <c r="S12" i="28" s="1"/>
  <c r="S15" i="28" s="1"/>
  <c r="T12" i="28" s="1"/>
  <c r="T15" i="28" s="1"/>
  <c r="U12" i="28" s="1"/>
  <c r="U15" i="28" s="1"/>
  <c r="V12" i="28" s="1"/>
  <c r="V15" i="28" s="1"/>
  <c r="W12" i="28" s="1"/>
  <c r="W15" i="28" s="1"/>
  <c r="X12" i="28" s="1"/>
  <c r="L3" i="28"/>
  <c r="L3" i="44"/>
  <c r="Y10" i="28"/>
  <c r="Y53" i="44"/>
  <c r="Y55" i="44" s="1"/>
  <c r="Y3" i="28" l="1"/>
  <c r="Y3" i="44"/>
  <c r="AD10" i="44"/>
  <c r="AE9" i="44"/>
  <c r="N4" i="28"/>
  <c r="N4" i="44"/>
  <c r="O25" i="44"/>
  <c r="AA47" i="44"/>
  <c r="AA48" i="44" s="1"/>
  <c r="AA32" i="44"/>
  <c r="AA33" i="44" s="1"/>
  <c r="AA42" i="44"/>
  <c r="AA43" i="44" s="1"/>
  <c r="AA23" i="44"/>
  <c r="AA2" i="28"/>
  <c r="AA2" i="44"/>
  <c r="X15" i="28"/>
  <c r="Y12" i="28" s="1"/>
  <c r="Y15" i="28" s="1"/>
  <c r="Z12" i="28" s="1"/>
  <c r="AB15" i="44"/>
  <c r="AB18" i="44" s="1"/>
  <c r="AB19" i="44" s="1"/>
  <c r="Z10" i="28"/>
  <c r="Z53" i="44"/>
  <c r="Z55" i="44" s="1"/>
  <c r="AC14" i="44"/>
  <c r="AC15" i="44" s="1"/>
  <c r="AC18" i="44" s="1"/>
  <c r="AC19" i="44" s="1"/>
  <c r="AC24" i="44"/>
  <c r="X3" i="28"/>
  <c r="X3" i="44"/>
  <c r="AC32" i="44" l="1"/>
  <c r="AC33" i="44" s="1"/>
  <c r="AC47" i="44"/>
  <c r="AC48" i="44" s="1"/>
  <c r="AC42" i="44"/>
  <c r="AC43" i="44" s="1"/>
  <c r="AC54" i="44" s="1"/>
  <c r="AC23" i="44"/>
  <c r="AC2" i="28"/>
  <c r="AC2" i="44"/>
  <c r="Z15" i="28"/>
  <c r="AA12" i="28" s="1"/>
  <c r="AB32" i="44"/>
  <c r="AB33" i="44" s="1"/>
  <c r="AB47" i="44"/>
  <c r="AB48" i="44" s="1"/>
  <c r="AB42" i="44"/>
  <c r="AB43" i="44" s="1"/>
  <c r="AB54" i="44" s="1"/>
  <c r="AB23" i="44"/>
  <c r="AB2" i="28"/>
  <c r="AB2" i="44"/>
  <c r="AA10" i="28"/>
  <c r="AA15" i="28" s="1"/>
  <c r="AB12" i="28" s="1"/>
  <c r="AA53" i="44"/>
  <c r="O4" i="28"/>
  <c r="O4" i="44"/>
  <c r="P25" i="44"/>
  <c r="AD14" i="44"/>
  <c r="AD15" i="44" s="1"/>
  <c r="AD18" i="44" s="1"/>
  <c r="AD19" i="44" s="1"/>
  <c r="AD24" i="44"/>
  <c r="Z3" i="28"/>
  <c r="Z3" i="44"/>
  <c r="AA54" i="44"/>
  <c r="AF9" i="44"/>
  <c r="AE10" i="44"/>
  <c r="AD32" i="44" l="1"/>
  <c r="AD33" i="44" s="1"/>
  <c r="AD47" i="44"/>
  <c r="AD48" i="44" s="1"/>
  <c r="AD23" i="44"/>
  <c r="AD42" i="44"/>
  <c r="AD43" i="44" s="1"/>
  <c r="AD2" i="28"/>
  <c r="AD2" i="44"/>
  <c r="AF10" i="44"/>
  <c r="AG9" i="44"/>
  <c r="P4" i="28"/>
  <c r="P4" i="44"/>
  <c r="Q25" i="44"/>
  <c r="AA55" i="44"/>
  <c r="AB10" i="28"/>
  <c r="AB15" i="28" s="1"/>
  <c r="AC12" i="28" s="1"/>
  <c r="AB53" i="44"/>
  <c r="AB55" i="44" s="1"/>
  <c r="AE14" i="44"/>
  <c r="AE15" i="44" s="1"/>
  <c r="AE18" i="44" s="1"/>
  <c r="AE19" i="44" s="1"/>
  <c r="AE24" i="44"/>
  <c r="AC10" i="28"/>
  <c r="AC53" i="44"/>
  <c r="AC55" i="44" s="1"/>
  <c r="AC3" i="28" l="1"/>
  <c r="AC3" i="44"/>
  <c r="Q4" i="28"/>
  <c r="Q4" i="44"/>
  <c r="R25" i="44"/>
  <c r="AH9" i="44"/>
  <c r="AG10" i="44"/>
  <c r="AC15" i="28"/>
  <c r="AD12" i="28" s="1"/>
  <c r="AB3" i="28"/>
  <c r="AB3" i="44"/>
  <c r="AA3" i="28"/>
  <c r="AA3" i="44"/>
  <c r="AF14" i="44"/>
  <c r="AF15" i="44" s="1"/>
  <c r="AF18" i="44" s="1"/>
  <c r="AF19" i="44" s="1"/>
  <c r="AF24" i="44"/>
  <c r="AD54" i="44"/>
  <c r="AE47" i="44"/>
  <c r="AE48" i="44" s="1"/>
  <c r="AE32" i="44"/>
  <c r="AE33" i="44" s="1"/>
  <c r="AE42" i="44"/>
  <c r="AE43" i="44" s="1"/>
  <c r="AE54" i="44" s="1"/>
  <c r="AE23" i="44"/>
  <c r="AE2" i="28"/>
  <c r="AE2" i="44"/>
  <c r="AD10" i="28"/>
  <c r="AD15" i="28" s="1"/>
  <c r="AE12" i="28" s="1"/>
  <c r="AD53" i="44"/>
  <c r="AH10" i="44" l="1"/>
  <c r="AI9" i="44"/>
  <c r="AD55" i="44"/>
  <c r="AE10" i="28"/>
  <c r="AE15" i="28" s="1"/>
  <c r="AF12" i="28" s="1"/>
  <c r="AE53" i="44"/>
  <c r="AE55" i="44" s="1"/>
  <c r="AG14" i="44"/>
  <c r="AG15" i="44" s="1"/>
  <c r="AG18" i="44" s="1"/>
  <c r="AG19" i="44" s="1"/>
  <c r="AG24" i="44"/>
  <c r="R4" i="28"/>
  <c r="R4" i="44"/>
  <c r="S25" i="44"/>
  <c r="AF32" i="44"/>
  <c r="AF33" i="44" s="1"/>
  <c r="AF47" i="44"/>
  <c r="AF48" i="44" s="1"/>
  <c r="AF42" i="44"/>
  <c r="AF43" i="44" s="1"/>
  <c r="AF54" i="44" s="1"/>
  <c r="AF23" i="44"/>
  <c r="AF2" i="28"/>
  <c r="AF2" i="44"/>
  <c r="AG32" i="44" l="1"/>
  <c r="AG33" i="44" s="1"/>
  <c r="AG47" i="44"/>
  <c r="AG48" i="44" s="1"/>
  <c r="AG42" i="44"/>
  <c r="AG43" i="44" s="1"/>
  <c r="AG54" i="44" s="1"/>
  <c r="AG23" i="44"/>
  <c r="AG2" i="28"/>
  <c r="AG2" i="44"/>
  <c r="AF10" i="28"/>
  <c r="AF15" i="28" s="1"/>
  <c r="AG12" i="28" s="1"/>
  <c r="AF53" i="44"/>
  <c r="AF55" i="44" s="1"/>
  <c r="AE3" i="28"/>
  <c r="AE3" i="44"/>
  <c r="AD3" i="28"/>
  <c r="AD3" i="44"/>
  <c r="AH14" i="44"/>
  <c r="AH15" i="44" s="1"/>
  <c r="AH18" i="44" s="1"/>
  <c r="AH19" i="44" s="1"/>
  <c r="AH24" i="44"/>
  <c r="S4" i="28"/>
  <c r="S4" i="44"/>
  <c r="T25" i="44"/>
  <c r="AJ9" i="44"/>
  <c r="AI10" i="44"/>
  <c r="AI14" i="44" l="1"/>
  <c r="AI15" i="44" s="1"/>
  <c r="AI18" i="44" s="1"/>
  <c r="AI19" i="44" s="1"/>
  <c r="AI24" i="44"/>
  <c r="T4" i="28"/>
  <c r="T4" i="44"/>
  <c r="U25" i="44"/>
  <c r="AH32" i="44"/>
  <c r="AH33" i="44" s="1"/>
  <c r="AH47" i="44"/>
  <c r="AH48" i="44" s="1"/>
  <c r="AH23" i="44"/>
  <c r="AH42" i="44"/>
  <c r="AH43" i="44" s="1"/>
  <c r="AH54" i="44" s="1"/>
  <c r="AH2" i="28"/>
  <c r="AH2" i="44"/>
  <c r="AG10" i="28"/>
  <c r="AG15" i="28" s="1"/>
  <c r="AH12" i="28" s="1"/>
  <c r="AG53" i="44"/>
  <c r="AG55" i="44" s="1"/>
  <c r="AJ10" i="44"/>
  <c r="AK9" i="44"/>
  <c r="AF3" i="28"/>
  <c r="AF3" i="44"/>
  <c r="AL9" i="44" l="1"/>
  <c r="AK10" i="44"/>
  <c r="AI47" i="44"/>
  <c r="AI48" i="44" s="1"/>
  <c r="AI32" i="44"/>
  <c r="AI33" i="44" s="1"/>
  <c r="AI42" i="44"/>
  <c r="AI43" i="44" s="1"/>
  <c r="AI54" i="44" s="1"/>
  <c r="AI23" i="44"/>
  <c r="AI2" i="28"/>
  <c r="AI2" i="44"/>
  <c r="AJ14" i="44"/>
  <c r="AJ15" i="44" s="1"/>
  <c r="AJ18" i="44" s="1"/>
  <c r="AJ19" i="44" s="1"/>
  <c r="AJ24" i="44"/>
  <c r="AH10" i="28"/>
  <c r="AH15" i="28" s="1"/>
  <c r="AI12" i="28" s="1"/>
  <c r="AH53" i="44"/>
  <c r="AH55" i="44" s="1"/>
  <c r="AG3" i="28"/>
  <c r="AG3" i="44"/>
  <c r="U4" i="28"/>
  <c r="U4" i="44"/>
  <c r="V25" i="44"/>
  <c r="AL10" i="44" l="1"/>
  <c r="AM9" i="44"/>
  <c r="V4" i="28"/>
  <c r="V4" i="44"/>
  <c r="W25" i="44"/>
  <c r="AH3" i="28"/>
  <c r="AH3" i="44"/>
  <c r="AI10" i="28"/>
  <c r="AI15" i="28" s="1"/>
  <c r="AJ12" i="28" s="1"/>
  <c r="AI53" i="44"/>
  <c r="AI55" i="44" s="1"/>
  <c r="AK14" i="44"/>
  <c r="AK15" i="44" s="1"/>
  <c r="AK18" i="44" s="1"/>
  <c r="AK19" i="44" s="1"/>
  <c r="AK24" i="44"/>
  <c r="AJ32" i="44"/>
  <c r="AJ33" i="44" s="1"/>
  <c r="AJ47" i="44"/>
  <c r="AJ48" i="44" s="1"/>
  <c r="AJ42" i="44"/>
  <c r="AJ43" i="44" s="1"/>
  <c r="AJ54" i="44" s="1"/>
  <c r="AJ23" i="44"/>
  <c r="AJ2" i="28"/>
  <c r="AJ2" i="44"/>
  <c r="AK32" i="44" l="1"/>
  <c r="AK33" i="44" s="1"/>
  <c r="AK47" i="44"/>
  <c r="AK48" i="44" s="1"/>
  <c r="AK42" i="44"/>
  <c r="AK43" i="44" s="1"/>
  <c r="AK54" i="44" s="1"/>
  <c r="AK23" i="44"/>
  <c r="AK2" i="28"/>
  <c r="AK2" i="44"/>
  <c r="W4" i="28"/>
  <c r="W4" i="44"/>
  <c r="X25" i="44"/>
  <c r="AL14" i="44"/>
  <c r="AL15" i="44" s="1"/>
  <c r="AL18" i="44" s="1"/>
  <c r="AL19" i="44" s="1"/>
  <c r="AL24" i="44"/>
  <c r="AI3" i="28"/>
  <c r="AI3" i="44"/>
  <c r="AN9" i="44"/>
  <c r="AM10" i="44"/>
  <c r="AJ10" i="28"/>
  <c r="AJ15" i="28" s="1"/>
  <c r="AK12" i="28" s="1"/>
  <c r="AJ53" i="44"/>
  <c r="AJ55" i="44" s="1"/>
  <c r="AL32" i="44" l="1"/>
  <c r="AL33" i="44" s="1"/>
  <c r="AL42" i="44"/>
  <c r="AL43" i="44" s="1"/>
  <c r="AL54" i="44" s="1"/>
  <c r="AL47" i="44"/>
  <c r="AL48" i="44" s="1"/>
  <c r="AL23" i="44"/>
  <c r="AL2" i="28"/>
  <c r="AL2" i="44"/>
  <c r="AN10" i="44"/>
  <c r="AO9" i="44"/>
  <c r="X4" i="28"/>
  <c r="X4" i="44"/>
  <c r="Y25" i="44"/>
  <c r="AK10" i="28"/>
  <c r="AK15" i="28" s="1"/>
  <c r="AL12" i="28" s="1"/>
  <c r="AK53" i="44"/>
  <c r="AK55" i="44" s="1"/>
  <c r="AJ3" i="28"/>
  <c r="AJ3" i="44"/>
  <c r="AM14" i="44"/>
  <c r="AM15" i="44" s="1"/>
  <c r="AM18" i="44" s="1"/>
  <c r="AM19" i="44" s="1"/>
  <c r="AM24" i="44"/>
  <c r="AM47" i="44" l="1"/>
  <c r="AM48" i="44" s="1"/>
  <c r="AM32" i="44"/>
  <c r="AM33" i="44" s="1"/>
  <c r="AM42" i="44"/>
  <c r="AM43" i="44" s="1"/>
  <c r="AM54" i="44" s="1"/>
  <c r="AM23" i="44"/>
  <c r="AM2" i="28"/>
  <c r="AM2" i="44"/>
  <c r="AN14" i="44"/>
  <c r="AN15" i="44" s="1"/>
  <c r="AN18" i="44" s="1"/>
  <c r="AN19" i="44" s="1"/>
  <c r="AN24" i="44"/>
  <c r="AK3" i="28"/>
  <c r="AK3" i="44"/>
  <c r="Y4" i="28"/>
  <c r="Y4" i="44"/>
  <c r="Z25" i="44"/>
  <c r="AP9" i="44"/>
  <c r="AO10" i="44"/>
  <c r="AL10" i="28"/>
  <c r="AL15" i="28" s="1"/>
  <c r="AM12" i="28" s="1"/>
  <c r="AL53" i="44"/>
  <c r="AL55" i="44" s="1"/>
  <c r="AN32" i="44" l="1"/>
  <c r="AN33" i="44" s="1"/>
  <c r="AN42" i="44"/>
  <c r="AN43" i="44" s="1"/>
  <c r="AN54" i="44" s="1"/>
  <c r="AN47" i="44"/>
  <c r="AN48" i="44" s="1"/>
  <c r="AN23" i="44"/>
  <c r="AN2" i="28"/>
  <c r="AN2" i="44"/>
  <c r="AL3" i="28"/>
  <c r="AL3" i="44"/>
  <c r="AO14" i="44"/>
  <c r="AO15" i="44" s="1"/>
  <c r="AO18" i="44" s="1"/>
  <c r="AO19" i="44" s="1"/>
  <c r="AO24" i="44"/>
  <c r="Z4" i="28"/>
  <c r="Z4" i="44"/>
  <c r="AA25" i="44"/>
  <c r="AM10" i="28"/>
  <c r="AM15" i="28" s="1"/>
  <c r="AN12" i="28" s="1"/>
  <c r="AM53" i="44"/>
  <c r="AM55" i="44" s="1"/>
  <c r="AP10" i="44"/>
  <c r="AQ9" i="44"/>
  <c r="AO32" i="44" l="1"/>
  <c r="AO33" i="44" s="1"/>
  <c r="AO47" i="44"/>
  <c r="AO48" i="44" s="1"/>
  <c r="AO42" i="44"/>
  <c r="AO43" i="44" s="1"/>
  <c r="AO54" i="44" s="1"/>
  <c r="AO23" i="44"/>
  <c r="AO2" i="28"/>
  <c r="AO2" i="44"/>
  <c r="AN10" i="28"/>
  <c r="AN15" i="28" s="1"/>
  <c r="AO12" i="28" s="1"/>
  <c r="AN53" i="44"/>
  <c r="AN55" i="44" s="1"/>
  <c r="AR9" i="44"/>
  <c r="AQ10" i="44"/>
  <c r="AM3" i="28"/>
  <c r="AM3" i="44"/>
  <c r="AP14" i="44"/>
  <c r="AP15" i="44" s="1"/>
  <c r="AP18" i="44" s="1"/>
  <c r="AP19" i="44" s="1"/>
  <c r="AP24" i="44"/>
  <c r="AA4" i="28"/>
  <c r="AA4" i="44"/>
  <c r="AB25" i="44"/>
  <c r="AR10" i="44" l="1"/>
  <c r="AS9" i="44"/>
  <c r="AB4" i="28"/>
  <c r="AB4" i="44"/>
  <c r="AC25" i="44"/>
  <c r="AP32" i="44"/>
  <c r="AP33" i="44" s="1"/>
  <c r="AP42" i="44"/>
  <c r="AP43" i="44" s="1"/>
  <c r="AP54" i="44" s="1"/>
  <c r="AP47" i="44"/>
  <c r="AP48" i="44" s="1"/>
  <c r="AP23" i="44"/>
  <c r="AP2" i="28"/>
  <c r="AP2" i="44"/>
  <c r="AQ14" i="44"/>
  <c r="AQ15" i="44" s="1"/>
  <c r="AQ18" i="44" s="1"/>
  <c r="AQ19" i="44" s="1"/>
  <c r="AQ24" i="44"/>
  <c r="AN3" i="28"/>
  <c r="AN3" i="44"/>
  <c r="AO10" i="28"/>
  <c r="AO15" i="28" s="1"/>
  <c r="AP12" i="28" s="1"/>
  <c r="AO53" i="44"/>
  <c r="AO55" i="44" s="1"/>
  <c r="AO3" i="28" l="1"/>
  <c r="AO3" i="44"/>
  <c r="AQ47" i="44"/>
  <c r="AQ48" i="44" s="1"/>
  <c r="AQ32" i="44"/>
  <c r="AQ33" i="44" s="1"/>
  <c r="AQ42" i="44"/>
  <c r="AQ43" i="44" s="1"/>
  <c r="AQ54" i="44" s="1"/>
  <c r="AQ23" i="44"/>
  <c r="AQ2" i="28"/>
  <c r="AQ2" i="44"/>
  <c r="AP10" i="28"/>
  <c r="AP15" i="28" s="1"/>
  <c r="AQ12" i="28" s="1"/>
  <c r="AP53" i="44"/>
  <c r="AP55" i="44" s="1"/>
  <c r="AT9" i="44"/>
  <c r="AS10" i="44"/>
  <c r="AC4" i="28"/>
  <c r="AC4" i="44"/>
  <c r="AD25" i="44"/>
  <c r="AR14" i="44"/>
  <c r="AR15" i="44" s="1"/>
  <c r="AR18" i="44" s="1"/>
  <c r="AR19" i="44" s="1"/>
  <c r="AR24" i="44"/>
  <c r="AD4" i="28" l="1"/>
  <c r="AD4" i="44"/>
  <c r="AE25" i="44"/>
  <c r="AS14" i="44"/>
  <c r="AS15" i="44" s="1"/>
  <c r="AS18" i="44" s="1"/>
  <c r="AS19" i="44" s="1"/>
  <c r="AS24" i="44"/>
  <c r="AQ10" i="28"/>
  <c r="AQ15" i="28" s="1"/>
  <c r="AR12" i="28" s="1"/>
  <c r="AQ53" i="44"/>
  <c r="AQ55" i="44" s="1"/>
  <c r="AR32" i="44"/>
  <c r="AR33" i="44" s="1"/>
  <c r="AR42" i="44"/>
  <c r="AR43" i="44" s="1"/>
  <c r="AR54" i="44" s="1"/>
  <c r="AR47" i="44"/>
  <c r="AR48" i="44" s="1"/>
  <c r="AR23" i="44"/>
  <c r="AR2" i="28"/>
  <c r="AR2" i="44"/>
  <c r="AT10" i="44"/>
  <c r="AU9" i="44"/>
  <c r="AP3" i="28"/>
  <c r="AP3" i="44"/>
  <c r="AS32" i="44" l="1"/>
  <c r="AS33" i="44" s="1"/>
  <c r="AS47" i="44"/>
  <c r="AS48" i="44" s="1"/>
  <c r="AS42" i="44"/>
  <c r="AS43" i="44" s="1"/>
  <c r="AS54" i="44" s="1"/>
  <c r="AS23" i="44"/>
  <c r="AS2" i="28"/>
  <c r="AS2" i="44"/>
  <c r="AV9" i="44"/>
  <c r="AU10" i="44"/>
  <c r="AQ3" i="28"/>
  <c r="AQ3" i="44"/>
  <c r="AE4" i="28"/>
  <c r="AE4" i="44"/>
  <c r="AF25" i="44"/>
  <c r="AT14" i="44"/>
  <c r="AT15" i="44" s="1"/>
  <c r="AT18" i="44" s="1"/>
  <c r="AT19" i="44" s="1"/>
  <c r="AT24" i="44"/>
  <c r="AR10" i="28"/>
  <c r="AR15" i="28" s="1"/>
  <c r="AS12" i="28" s="1"/>
  <c r="AR53" i="44"/>
  <c r="AR55" i="44" s="1"/>
  <c r="AT32" i="44" l="1"/>
  <c r="AT33" i="44" s="1"/>
  <c r="AT42" i="44"/>
  <c r="AT43" i="44" s="1"/>
  <c r="AT54" i="44" s="1"/>
  <c r="AT47" i="44"/>
  <c r="AT48" i="44" s="1"/>
  <c r="AT23" i="44"/>
  <c r="AT2" i="28"/>
  <c r="AT2" i="44"/>
  <c r="AV10" i="44"/>
  <c r="AW9" i="44"/>
  <c r="AS10" i="28"/>
  <c r="AS15" i="28" s="1"/>
  <c r="AT12" i="28" s="1"/>
  <c r="AS53" i="44"/>
  <c r="AS55" i="44" s="1"/>
  <c r="AR3" i="28"/>
  <c r="AR3" i="44"/>
  <c r="AF4" i="28"/>
  <c r="AF4" i="44"/>
  <c r="AG25" i="44"/>
  <c r="AU14" i="44"/>
  <c r="AU15" i="44" s="1"/>
  <c r="AU18" i="44" s="1"/>
  <c r="AU19" i="44" s="1"/>
  <c r="AU24" i="44"/>
  <c r="AU47" i="44" l="1"/>
  <c r="AU48" i="44" s="1"/>
  <c r="AU32" i="44"/>
  <c r="AU33" i="44" s="1"/>
  <c r="AU42" i="44"/>
  <c r="AU43" i="44" s="1"/>
  <c r="AU54" i="44" s="1"/>
  <c r="AU23" i="44"/>
  <c r="AU2" i="28"/>
  <c r="AU2" i="44"/>
  <c r="AV14" i="44"/>
  <c r="AV15" i="44" s="1"/>
  <c r="AV18" i="44" s="1"/>
  <c r="AV19" i="44" s="1"/>
  <c r="AV24" i="44"/>
  <c r="AG4" i="28"/>
  <c r="AG4" i="44"/>
  <c r="AH25" i="44"/>
  <c r="AS3" i="28"/>
  <c r="AS3" i="44"/>
  <c r="AX9" i="44"/>
  <c r="AW10" i="44"/>
  <c r="AT10" i="28"/>
  <c r="AT15" i="28" s="1"/>
  <c r="AU12" i="28" s="1"/>
  <c r="AT53" i="44"/>
  <c r="AT55" i="44" s="1"/>
  <c r="AV32" i="44" l="1"/>
  <c r="AV33" i="44" s="1"/>
  <c r="AV42" i="44"/>
  <c r="AV43" i="44" s="1"/>
  <c r="AV54" i="44" s="1"/>
  <c r="AV47" i="44"/>
  <c r="AV48" i="44" s="1"/>
  <c r="AV23" i="44"/>
  <c r="AV2" i="28"/>
  <c r="AV2" i="44"/>
  <c r="AT3" i="28"/>
  <c r="AT3" i="44"/>
  <c r="AW14" i="44"/>
  <c r="AW15" i="44" s="1"/>
  <c r="AW18" i="44" s="1"/>
  <c r="AW19" i="44" s="1"/>
  <c r="AW24" i="44"/>
  <c r="AH4" i="28"/>
  <c r="AH4" i="44"/>
  <c r="AI25" i="44"/>
  <c r="AU10" i="28"/>
  <c r="AU15" i="28" s="1"/>
  <c r="AV12" i="28" s="1"/>
  <c r="AU53" i="44"/>
  <c r="AU55" i="44" s="1"/>
  <c r="AX10" i="44"/>
  <c r="AY9" i="44"/>
  <c r="AX14" i="44" l="1"/>
  <c r="AX15" i="44" s="1"/>
  <c r="AX18" i="44" s="1"/>
  <c r="AX19" i="44" s="1"/>
  <c r="AX24" i="44"/>
  <c r="AW32" i="44"/>
  <c r="AW33" i="44" s="1"/>
  <c r="AW47" i="44"/>
  <c r="AW48" i="44" s="1"/>
  <c r="AW42" i="44"/>
  <c r="AW43" i="44" s="1"/>
  <c r="AW54" i="44" s="1"/>
  <c r="AW23" i="44"/>
  <c r="AW2" i="28"/>
  <c r="AW2" i="44"/>
  <c r="AV10" i="28"/>
  <c r="AV15" i="28" s="1"/>
  <c r="AW12" i="28" s="1"/>
  <c r="AV53" i="44"/>
  <c r="AV55" i="44" s="1"/>
  <c r="AZ9" i="44"/>
  <c r="AY10" i="44"/>
  <c r="AU3" i="28"/>
  <c r="AU3" i="44"/>
  <c r="AI4" i="28"/>
  <c r="AI4" i="44"/>
  <c r="AJ25" i="44"/>
  <c r="AZ10" i="44" l="1"/>
  <c r="BA9" i="44"/>
  <c r="AX32" i="44"/>
  <c r="AX33" i="44" s="1"/>
  <c r="AX42" i="44"/>
  <c r="AX43" i="44" s="1"/>
  <c r="AX54" i="44" s="1"/>
  <c r="AX47" i="44"/>
  <c r="AX48" i="44" s="1"/>
  <c r="AX23" i="44"/>
  <c r="AX2" i="28"/>
  <c r="AX2" i="44"/>
  <c r="AJ4" i="28"/>
  <c r="AJ4" i="44"/>
  <c r="AK25" i="44"/>
  <c r="AY14" i="44"/>
  <c r="AY15" i="44" s="1"/>
  <c r="AY18" i="44" s="1"/>
  <c r="AY19" i="44" s="1"/>
  <c r="AY24" i="44"/>
  <c r="AV3" i="28"/>
  <c r="AV3" i="44"/>
  <c r="AW10" i="28"/>
  <c r="AW15" i="28" s="1"/>
  <c r="AX12" i="28" s="1"/>
  <c r="AW53" i="44"/>
  <c r="AW55" i="44" s="1"/>
  <c r="AW3" i="28" l="1"/>
  <c r="AW3" i="44"/>
  <c r="AY47" i="44"/>
  <c r="AY48" i="44" s="1"/>
  <c r="AY32" i="44"/>
  <c r="AY33" i="44" s="1"/>
  <c r="AY42" i="44"/>
  <c r="AY43" i="44" s="1"/>
  <c r="AY54" i="44" s="1"/>
  <c r="AY23" i="44"/>
  <c r="AY2" i="28"/>
  <c r="AY2" i="44"/>
  <c r="BB9" i="44"/>
  <c r="BA10" i="44"/>
  <c r="AK4" i="28"/>
  <c r="AK4" i="44"/>
  <c r="AL25" i="44"/>
  <c r="AX10" i="28"/>
  <c r="AX15" i="28" s="1"/>
  <c r="AY12" i="28" s="1"/>
  <c r="AX53" i="44"/>
  <c r="AX55" i="44" s="1"/>
  <c r="AZ14" i="44"/>
  <c r="AZ15" i="44" s="1"/>
  <c r="AZ18" i="44" s="1"/>
  <c r="AZ19" i="44" s="1"/>
  <c r="AZ24" i="44"/>
  <c r="AX3" i="28" l="1"/>
  <c r="AX3" i="44"/>
  <c r="AL4" i="28"/>
  <c r="AL4" i="44"/>
  <c r="AM25" i="44"/>
  <c r="BA14" i="44"/>
  <c r="BA15" i="44" s="1"/>
  <c r="BA18" i="44" s="1"/>
  <c r="BA19" i="44" s="1"/>
  <c r="BA24" i="44"/>
  <c r="AY10" i="28"/>
  <c r="AY15" i="28" s="1"/>
  <c r="AZ12" i="28" s="1"/>
  <c r="AY53" i="44"/>
  <c r="AY55" i="44" s="1"/>
  <c r="AZ32" i="44"/>
  <c r="AZ33" i="44" s="1"/>
  <c r="AZ42" i="44"/>
  <c r="AZ43" i="44" s="1"/>
  <c r="AZ54" i="44" s="1"/>
  <c r="AZ47" i="44"/>
  <c r="AZ48" i="44" s="1"/>
  <c r="AZ23" i="44"/>
  <c r="AZ2" i="28"/>
  <c r="AZ2" i="44"/>
  <c r="BB10" i="44"/>
  <c r="BC9" i="44"/>
  <c r="BA32" i="44" l="1"/>
  <c r="BA33" i="44" s="1"/>
  <c r="BA47" i="44"/>
  <c r="BA48" i="44" s="1"/>
  <c r="BA42" i="44"/>
  <c r="BA43" i="44" s="1"/>
  <c r="BA54" i="44" s="1"/>
  <c r="BA23" i="44"/>
  <c r="BA2" i="28"/>
  <c r="BA2" i="44"/>
  <c r="BD9" i="44"/>
  <c r="BC10" i="44"/>
  <c r="AY3" i="28"/>
  <c r="AY3" i="44"/>
  <c r="AM4" i="28"/>
  <c r="AM4" i="44"/>
  <c r="AN25" i="44"/>
  <c r="BB14" i="44"/>
  <c r="BB15" i="44" s="1"/>
  <c r="BB18" i="44" s="1"/>
  <c r="BB19" i="44" s="1"/>
  <c r="BB24" i="44"/>
  <c r="AZ10" i="28"/>
  <c r="AZ15" i="28" s="1"/>
  <c r="BA12" i="28" s="1"/>
  <c r="AZ53" i="44"/>
  <c r="AZ55" i="44" s="1"/>
  <c r="BB32" i="44" l="1"/>
  <c r="BB33" i="44" s="1"/>
  <c r="BB42" i="44"/>
  <c r="BB43" i="44" s="1"/>
  <c r="BB54" i="44" s="1"/>
  <c r="BB47" i="44"/>
  <c r="BB48" i="44" s="1"/>
  <c r="BB23" i="44"/>
  <c r="BB2" i="28"/>
  <c r="BB2" i="44"/>
  <c r="BD10" i="44"/>
  <c r="BE9" i="44"/>
  <c r="BA10" i="28"/>
  <c r="BA15" i="28" s="1"/>
  <c r="BB12" i="28" s="1"/>
  <c r="BA53" i="44"/>
  <c r="BA55" i="44" s="1"/>
  <c r="AZ3" i="28"/>
  <c r="AZ3" i="44"/>
  <c r="AN4" i="28"/>
  <c r="AN4" i="44"/>
  <c r="AO25" i="44"/>
  <c r="BC14" i="44"/>
  <c r="BC15" i="44" s="1"/>
  <c r="BC18" i="44" s="1"/>
  <c r="BC19" i="44" s="1"/>
  <c r="BC24" i="44"/>
  <c r="BC47" i="44" l="1"/>
  <c r="BC48" i="44" s="1"/>
  <c r="BC32" i="44"/>
  <c r="BC33" i="44" s="1"/>
  <c r="BC42" i="44"/>
  <c r="BC43" i="44" s="1"/>
  <c r="BC54" i="44" s="1"/>
  <c r="BC23" i="44"/>
  <c r="BC2" i="28"/>
  <c r="BC2" i="44"/>
  <c r="BD14" i="44"/>
  <c r="BD15" i="44" s="1"/>
  <c r="BD18" i="44" s="1"/>
  <c r="BD19" i="44" s="1"/>
  <c r="BD24" i="44"/>
  <c r="BB10" i="28"/>
  <c r="BB15" i="28" s="1"/>
  <c r="BC12" i="28" s="1"/>
  <c r="BB53" i="44"/>
  <c r="BB55" i="44" s="1"/>
  <c r="AO4" i="28"/>
  <c r="AO4" i="44"/>
  <c r="AP25" i="44"/>
  <c r="BA3" i="28"/>
  <c r="BA3" i="44"/>
  <c r="BF9" i="44"/>
  <c r="BE10" i="44"/>
  <c r="BF10" i="44" l="1"/>
  <c r="BG9" i="44"/>
  <c r="BD32" i="44"/>
  <c r="BD33" i="44" s="1"/>
  <c r="BD42" i="44"/>
  <c r="BD43" i="44" s="1"/>
  <c r="BD54" i="44" s="1"/>
  <c r="BD47" i="44"/>
  <c r="BD48" i="44" s="1"/>
  <c r="BD23" i="44"/>
  <c r="BD2" i="28"/>
  <c r="BD2" i="44"/>
  <c r="BE14" i="44"/>
  <c r="BE15" i="44" s="1"/>
  <c r="BE18" i="44" s="1"/>
  <c r="BE19" i="44" s="1"/>
  <c r="BE24" i="44"/>
  <c r="AP4" i="28"/>
  <c r="AP4" i="44"/>
  <c r="AQ25" i="44"/>
  <c r="BB3" i="28"/>
  <c r="BB3" i="44"/>
  <c r="BC10" i="28"/>
  <c r="BC15" i="28" s="1"/>
  <c r="BD12" i="28" s="1"/>
  <c r="BC53" i="44"/>
  <c r="BC55" i="44" s="1"/>
  <c r="BE32" i="44" l="1"/>
  <c r="BE33" i="44" s="1"/>
  <c r="BE47" i="44"/>
  <c r="BE48" i="44" s="1"/>
  <c r="BE42" i="44"/>
  <c r="BE43" i="44" s="1"/>
  <c r="BE54" i="44" s="1"/>
  <c r="BE23" i="44"/>
  <c r="BE2" i="28"/>
  <c r="BE2" i="44"/>
  <c r="BD10" i="28"/>
  <c r="BD15" i="28" s="1"/>
  <c r="BE12" i="28" s="1"/>
  <c r="BD53" i="44"/>
  <c r="BD55" i="44" s="1"/>
  <c r="BF14" i="44"/>
  <c r="BF15" i="44" s="1"/>
  <c r="BF18" i="44" s="1"/>
  <c r="BF19" i="44" s="1"/>
  <c r="BF24" i="44"/>
  <c r="BC3" i="28"/>
  <c r="BC3" i="44"/>
  <c r="BH9" i="44"/>
  <c r="BG10" i="44"/>
  <c r="AQ4" i="28"/>
  <c r="AQ4" i="44"/>
  <c r="AR25" i="44"/>
  <c r="BF32" i="44" l="1"/>
  <c r="BF33" i="44" s="1"/>
  <c r="BF42" i="44"/>
  <c r="BF43" i="44" s="1"/>
  <c r="BF54" i="44" s="1"/>
  <c r="BF47" i="44"/>
  <c r="BF48" i="44" s="1"/>
  <c r="BF23" i="44"/>
  <c r="BF2" i="28"/>
  <c r="BF2" i="44"/>
  <c r="BE10" i="28"/>
  <c r="BE15" i="28" s="1"/>
  <c r="BF12" i="28" s="1"/>
  <c r="BE53" i="44"/>
  <c r="BE55" i="44" s="1"/>
  <c r="AR4" i="28"/>
  <c r="AR4" i="44"/>
  <c r="AS25" i="44"/>
  <c r="BH10" i="44"/>
  <c r="BI9" i="44"/>
  <c r="BD3" i="28"/>
  <c r="BD3" i="44"/>
  <c r="BG14" i="44"/>
  <c r="BG15" i="44" s="1"/>
  <c r="BG18" i="44" s="1"/>
  <c r="BG19" i="44" s="1"/>
  <c r="BG24" i="44"/>
  <c r="BG47" i="44" l="1"/>
  <c r="BG48" i="44" s="1"/>
  <c r="BG32" i="44"/>
  <c r="BG33" i="44" s="1"/>
  <c r="BG42" i="44"/>
  <c r="BG43" i="44" s="1"/>
  <c r="BG54" i="44" s="1"/>
  <c r="BG23" i="44"/>
  <c r="BG2" i="28"/>
  <c r="BG2" i="44"/>
  <c r="AS4" i="28"/>
  <c r="AS4" i="44"/>
  <c r="AT25" i="44"/>
  <c r="BF10" i="28"/>
  <c r="BF15" i="28" s="1"/>
  <c r="BG12" i="28" s="1"/>
  <c r="BF53" i="44"/>
  <c r="BF55" i="44" s="1"/>
  <c r="BH14" i="44"/>
  <c r="BH15" i="44" s="1"/>
  <c r="BH18" i="44" s="1"/>
  <c r="BH19" i="44" s="1"/>
  <c r="BH24" i="44"/>
  <c r="BE3" i="28"/>
  <c r="BE3" i="44"/>
  <c r="BJ9" i="44"/>
  <c r="BI10" i="44"/>
  <c r="BH32" i="44" l="1"/>
  <c r="BH33" i="44" s="1"/>
  <c r="BH42" i="44"/>
  <c r="BH43" i="44" s="1"/>
  <c r="BH54" i="44" s="1"/>
  <c r="BH47" i="44"/>
  <c r="BH48" i="44" s="1"/>
  <c r="BH23" i="44"/>
  <c r="BH2" i="28"/>
  <c r="BH2" i="44"/>
  <c r="AT4" i="28"/>
  <c r="AT4" i="44"/>
  <c r="AU25" i="44"/>
  <c r="BI14" i="44"/>
  <c r="BI15" i="44" s="1"/>
  <c r="BI18" i="44" s="1"/>
  <c r="BI19" i="44" s="1"/>
  <c r="BI24" i="44"/>
  <c r="BG10" i="28"/>
  <c r="BG15" i="28" s="1"/>
  <c r="BH12" i="28" s="1"/>
  <c r="BG53" i="44"/>
  <c r="BG55" i="44" s="1"/>
  <c r="BJ10" i="44"/>
  <c r="BK9" i="44"/>
  <c r="BF3" i="28"/>
  <c r="BF3" i="44"/>
  <c r="BL9" i="44" l="1"/>
  <c r="BK10" i="44"/>
  <c r="BG3" i="28"/>
  <c r="BG3" i="44"/>
  <c r="BI32" i="44"/>
  <c r="BI33" i="44" s="1"/>
  <c r="BI47" i="44"/>
  <c r="BI48" i="44" s="1"/>
  <c r="BI42" i="44"/>
  <c r="BI43" i="44" s="1"/>
  <c r="BI54" i="44" s="1"/>
  <c r="BI23" i="44"/>
  <c r="BI2" i="28"/>
  <c r="BI2" i="44"/>
  <c r="BJ14" i="44"/>
  <c r="BJ15" i="44" s="1"/>
  <c r="BJ18" i="44" s="1"/>
  <c r="BJ19" i="44" s="1"/>
  <c r="BJ24" i="44"/>
  <c r="AU4" i="28"/>
  <c r="AU4" i="44"/>
  <c r="AV25" i="44"/>
  <c r="BH10" i="28"/>
  <c r="BH15" i="28" s="1"/>
  <c r="BI12" i="28" s="1"/>
  <c r="BH53" i="44"/>
  <c r="BH55" i="44" s="1"/>
  <c r="BH3" i="28" l="1"/>
  <c r="BH3" i="44"/>
  <c r="AV4" i="28"/>
  <c r="AV4" i="44"/>
  <c r="AW25" i="44"/>
  <c r="BJ32" i="44"/>
  <c r="BJ33" i="44" s="1"/>
  <c r="BJ42" i="44"/>
  <c r="BJ43" i="44" s="1"/>
  <c r="BJ54" i="44" s="1"/>
  <c r="BJ47" i="44"/>
  <c r="BJ48" i="44" s="1"/>
  <c r="BJ23" i="44"/>
  <c r="BJ2" i="28"/>
  <c r="BJ2" i="44"/>
  <c r="BI10" i="28"/>
  <c r="BI15" i="28" s="1"/>
  <c r="BJ12" i="28" s="1"/>
  <c r="BI53" i="44"/>
  <c r="BI55" i="44" s="1"/>
  <c r="BL10" i="44"/>
  <c r="BM9" i="44"/>
  <c r="BK14" i="44"/>
  <c r="BK15" i="44" s="1"/>
  <c r="BK18" i="44" s="1"/>
  <c r="BK19" i="44" s="1"/>
  <c r="BK24" i="44"/>
  <c r="BN9" i="44" l="1"/>
  <c r="BM10" i="44"/>
  <c r="AW4" i="28"/>
  <c r="AW4" i="44"/>
  <c r="AX25" i="44"/>
  <c r="BK47" i="44"/>
  <c r="BK48" i="44" s="1"/>
  <c r="BK32" i="44"/>
  <c r="BK33" i="44" s="1"/>
  <c r="BK42" i="44"/>
  <c r="BK43" i="44" s="1"/>
  <c r="BK54" i="44" s="1"/>
  <c r="BK23" i="44"/>
  <c r="BK2" i="28"/>
  <c r="BK2" i="44"/>
  <c r="BL14" i="44"/>
  <c r="BL15" i="44" s="1"/>
  <c r="BL18" i="44" s="1"/>
  <c r="BL19" i="44" s="1"/>
  <c r="BL24" i="44"/>
  <c r="BJ10" i="28"/>
  <c r="BJ15" i="28" s="1"/>
  <c r="BK12" i="28" s="1"/>
  <c r="BJ53" i="44"/>
  <c r="BJ55" i="44" s="1"/>
  <c r="BI3" i="28"/>
  <c r="BI3" i="44"/>
  <c r="BL32" i="44" l="1"/>
  <c r="BL33" i="44" s="1"/>
  <c r="BL42" i="44"/>
  <c r="BL43" i="44" s="1"/>
  <c r="BL54" i="44" s="1"/>
  <c r="BL47" i="44"/>
  <c r="BL48" i="44" s="1"/>
  <c r="BL23" i="44"/>
  <c r="BL2" i="28"/>
  <c r="BL2" i="44"/>
  <c r="BM14" i="44"/>
  <c r="BM15" i="44" s="1"/>
  <c r="BM18" i="44" s="1"/>
  <c r="BM19" i="44" s="1"/>
  <c r="BM24" i="44"/>
  <c r="BJ3" i="28"/>
  <c r="BJ3" i="44"/>
  <c r="BK10" i="28"/>
  <c r="BK15" i="28" s="1"/>
  <c r="BL12" i="28" s="1"/>
  <c r="BK53" i="44"/>
  <c r="BK55" i="44" s="1"/>
  <c r="AX4" i="28"/>
  <c r="AX4" i="44"/>
  <c r="AY25" i="44"/>
  <c r="BN10" i="44"/>
  <c r="BO9" i="44"/>
  <c r="AY4" i="28" l="1"/>
  <c r="AY4" i="44"/>
  <c r="AZ25" i="44"/>
  <c r="BN14" i="44"/>
  <c r="BN15" i="44" s="1"/>
  <c r="BN18" i="44" s="1"/>
  <c r="BN19" i="44" s="1"/>
  <c r="BN24" i="44"/>
  <c r="BK3" i="28"/>
  <c r="BK3" i="44"/>
  <c r="BM32" i="44"/>
  <c r="BM33" i="44" s="1"/>
  <c r="BM47" i="44"/>
  <c r="BM48" i="44" s="1"/>
  <c r="BM42" i="44"/>
  <c r="BM43" i="44" s="1"/>
  <c r="BM54" i="44" s="1"/>
  <c r="BM23" i="44"/>
  <c r="BM2" i="28"/>
  <c r="BM2" i="44"/>
  <c r="BL10" i="28"/>
  <c r="BL15" i="28" s="1"/>
  <c r="BM12" i="28" s="1"/>
  <c r="BL53" i="44"/>
  <c r="BL55" i="44" s="1"/>
  <c r="BP9" i="44"/>
  <c r="BO10" i="44"/>
  <c r="BP10" i="44" l="1"/>
  <c r="BQ9" i="44"/>
  <c r="BM10" i="28"/>
  <c r="BM15" i="28" s="1"/>
  <c r="BN12" i="28" s="1"/>
  <c r="BM53" i="44"/>
  <c r="BM55" i="44" s="1"/>
  <c r="BN32" i="44"/>
  <c r="BN33" i="44" s="1"/>
  <c r="BN42" i="44"/>
  <c r="BN43" i="44" s="1"/>
  <c r="BN54" i="44" s="1"/>
  <c r="BN47" i="44"/>
  <c r="BN48" i="44" s="1"/>
  <c r="BN23" i="44"/>
  <c r="BN2" i="28"/>
  <c r="BN2" i="44"/>
  <c r="AZ4" i="28"/>
  <c r="AZ4" i="44"/>
  <c r="BA25" i="44"/>
  <c r="BO14" i="44"/>
  <c r="BO15" i="44" s="1"/>
  <c r="BO18" i="44" s="1"/>
  <c r="BO19" i="44" s="1"/>
  <c r="BO24" i="44"/>
  <c r="BL3" i="28"/>
  <c r="BL3" i="44"/>
  <c r="BO47" i="44" l="1"/>
  <c r="BO48" i="44" s="1"/>
  <c r="BO32" i="44"/>
  <c r="BO33" i="44" s="1"/>
  <c r="BO42" i="44"/>
  <c r="BO43" i="44" s="1"/>
  <c r="BO54" i="44" s="1"/>
  <c r="BO23" i="44"/>
  <c r="BO2" i="28"/>
  <c r="BO2" i="44"/>
  <c r="BM3" i="28"/>
  <c r="BM3" i="44"/>
  <c r="BR9" i="44"/>
  <c r="BQ10" i="44"/>
  <c r="BA4" i="28"/>
  <c r="BA4" i="44"/>
  <c r="BB25" i="44"/>
  <c r="BN10" i="28"/>
  <c r="BN15" i="28" s="1"/>
  <c r="BO12" i="28" s="1"/>
  <c r="BN53" i="44"/>
  <c r="BN55" i="44" s="1"/>
  <c r="BP14" i="44"/>
  <c r="BP15" i="44" s="1"/>
  <c r="BP18" i="44" s="1"/>
  <c r="BP19" i="44" s="1"/>
  <c r="BP24" i="44"/>
  <c r="BR10" i="44" l="1"/>
  <c r="BS9" i="44"/>
  <c r="BN3" i="28"/>
  <c r="BN3" i="44"/>
  <c r="BB4" i="28"/>
  <c r="BB4" i="44"/>
  <c r="BC25" i="44"/>
  <c r="BQ14" i="44"/>
  <c r="BQ15" i="44" s="1"/>
  <c r="BQ18" i="44" s="1"/>
  <c r="BQ19" i="44" s="1"/>
  <c r="BQ24" i="44"/>
  <c r="BO10" i="28"/>
  <c r="BO15" i="28" s="1"/>
  <c r="BP12" i="28" s="1"/>
  <c r="BO53" i="44"/>
  <c r="BO55" i="44" s="1"/>
  <c r="BP32" i="44"/>
  <c r="BP33" i="44" s="1"/>
  <c r="BP42" i="44"/>
  <c r="BP43" i="44" s="1"/>
  <c r="BP54" i="44" s="1"/>
  <c r="BP47" i="44"/>
  <c r="BP48" i="44" s="1"/>
  <c r="BP23" i="44"/>
  <c r="BP2" i="28"/>
  <c r="BP2" i="44"/>
  <c r="BQ32" i="44" l="1"/>
  <c r="BQ33" i="44" s="1"/>
  <c r="BQ47" i="44"/>
  <c r="BQ48" i="44" s="1"/>
  <c r="BQ42" i="44"/>
  <c r="BQ43" i="44" s="1"/>
  <c r="BQ54" i="44" s="1"/>
  <c r="BQ23" i="44"/>
  <c r="BQ2" i="28"/>
  <c r="BQ2" i="44"/>
  <c r="BR14" i="44"/>
  <c r="BR15" i="44" s="1"/>
  <c r="BR18" i="44" s="1"/>
  <c r="BR19" i="44" s="1"/>
  <c r="BR24" i="44"/>
  <c r="BO3" i="28"/>
  <c r="BO3" i="44"/>
  <c r="BC4" i="28"/>
  <c r="BC4" i="44"/>
  <c r="BD25" i="44"/>
  <c r="BT9" i="44"/>
  <c r="BS10" i="44"/>
  <c r="BP10" i="28"/>
  <c r="BP15" i="28" s="1"/>
  <c r="BQ12" i="28" s="1"/>
  <c r="BP53" i="44"/>
  <c r="BP55" i="44" s="1"/>
  <c r="BT10" i="44" l="1"/>
  <c r="BU9" i="44"/>
  <c r="BQ10" i="28"/>
  <c r="BQ15" i="28" s="1"/>
  <c r="BR12" i="28" s="1"/>
  <c r="BQ53" i="44"/>
  <c r="BQ55" i="44" s="1"/>
  <c r="BP3" i="28"/>
  <c r="BP3" i="44"/>
  <c r="BS14" i="44"/>
  <c r="BS15" i="44" s="1"/>
  <c r="BS18" i="44" s="1"/>
  <c r="BS19" i="44" s="1"/>
  <c r="BS24" i="44"/>
  <c r="BD4" i="28"/>
  <c r="BD4" i="44"/>
  <c r="BE25" i="44"/>
  <c r="BR32" i="44"/>
  <c r="BR33" i="44" s="1"/>
  <c r="BR42" i="44"/>
  <c r="BR43" i="44" s="1"/>
  <c r="BR54" i="44" s="1"/>
  <c r="BR47" i="44"/>
  <c r="BR48" i="44" s="1"/>
  <c r="BR23" i="44"/>
  <c r="BR2" i="28"/>
  <c r="BR2" i="44"/>
  <c r="BS47" i="44" l="1"/>
  <c r="BS48" i="44" s="1"/>
  <c r="BS32" i="44"/>
  <c r="BS33" i="44" s="1"/>
  <c r="BS42" i="44"/>
  <c r="BS43" i="44" s="1"/>
  <c r="BS54" i="44" s="1"/>
  <c r="BS23" i="44"/>
  <c r="BS2" i="28"/>
  <c r="BS2" i="44"/>
  <c r="BT14" i="44"/>
  <c r="BT15" i="44" s="1"/>
  <c r="BT18" i="44" s="1"/>
  <c r="BT19" i="44" s="1"/>
  <c r="BT24" i="44"/>
  <c r="BQ3" i="28"/>
  <c r="BQ3" i="44"/>
  <c r="BV9" i="44"/>
  <c r="BU10" i="44"/>
  <c r="BR10" i="28"/>
  <c r="BR15" i="28" s="1"/>
  <c r="BS12" i="28" s="1"/>
  <c r="BR53" i="44"/>
  <c r="BR55" i="44" s="1"/>
  <c r="BE4" i="28"/>
  <c r="BE4" i="44"/>
  <c r="BF25" i="44"/>
  <c r="BF4" i="28" l="1"/>
  <c r="BF4" i="44"/>
  <c r="BG25" i="44"/>
  <c r="BR3" i="28"/>
  <c r="BR3" i="44"/>
  <c r="BU14" i="44"/>
  <c r="BU15" i="44" s="1"/>
  <c r="BU18" i="44" s="1"/>
  <c r="BU19" i="44" s="1"/>
  <c r="BU24" i="44"/>
  <c r="BT32" i="44"/>
  <c r="BT33" i="44" s="1"/>
  <c r="BT42" i="44"/>
  <c r="BT43" i="44" s="1"/>
  <c r="BT54" i="44" s="1"/>
  <c r="BT47" i="44"/>
  <c r="BT48" i="44" s="1"/>
  <c r="BT23" i="44"/>
  <c r="BT2" i="28"/>
  <c r="BT2" i="44"/>
  <c r="BV10" i="44"/>
  <c r="BW9" i="44"/>
  <c r="BS10" i="28"/>
  <c r="BS15" i="28" s="1"/>
  <c r="BT12" i="28" s="1"/>
  <c r="BS53" i="44"/>
  <c r="BS55" i="44" s="1"/>
  <c r="BU32" i="44" l="1"/>
  <c r="BU33" i="44" s="1"/>
  <c r="BU47" i="44"/>
  <c r="BU48" i="44" s="1"/>
  <c r="BU42" i="44"/>
  <c r="BU43" i="44" s="1"/>
  <c r="BU54" i="44" s="1"/>
  <c r="BU23" i="44"/>
  <c r="BU2" i="28"/>
  <c r="BU2" i="44"/>
  <c r="BX9" i="44"/>
  <c r="BW10" i="44"/>
  <c r="BG4" i="28"/>
  <c r="BG4" i="44"/>
  <c r="BH25" i="44"/>
  <c r="BS3" i="28"/>
  <c r="BS3" i="44"/>
  <c r="BV14" i="44"/>
  <c r="BV15" i="44" s="1"/>
  <c r="BV18" i="44" s="1"/>
  <c r="BV19" i="44" s="1"/>
  <c r="BV24" i="44"/>
  <c r="BT10" i="28"/>
  <c r="BT15" i="28" s="1"/>
  <c r="BU12" i="28" s="1"/>
  <c r="BT53" i="44"/>
  <c r="BT55" i="44" s="1"/>
  <c r="BX10" i="44" l="1"/>
  <c r="BY9" i="44"/>
  <c r="BU10" i="28"/>
  <c r="BU15" i="28" s="1"/>
  <c r="BV12" i="28" s="1"/>
  <c r="BU53" i="44"/>
  <c r="BU55" i="44" s="1"/>
  <c r="BT3" i="28"/>
  <c r="BT3" i="44"/>
  <c r="BH4" i="28"/>
  <c r="BH4" i="44"/>
  <c r="BI25" i="44"/>
  <c r="BW14" i="44"/>
  <c r="BW15" i="44" s="1"/>
  <c r="BW18" i="44" s="1"/>
  <c r="BW19" i="44" s="1"/>
  <c r="BW24" i="44"/>
  <c r="BV32" i="44"/>
  <c r="BV33" i="44" s="1"/>
  <c r="BV42" i="44"/>
  <c r="BV43" i="44" s="1"/>
  <c r="BV54" i="44" s="1"/>
  <c r="BV47" i="44"/>
  <c r="BV48" i="44" s="1"/>
  <c r="BV23" i="44"/>
  <c r="BV2" i="28"/>
  <c r="BV2" i="44"/>
  <c r="BW47" i="44" l="1"/>
  <c r="BW48" i="44" s="1"/>
  <c r="BW32" i="44"/>
  <c r="BW33" i="44" s="1"/>
  <c r="BW42" i="44"/>
  <c r="BW43" i="44" s="1"/>
  <c r="BW54" i="44" s="1"/>
  <c r="BW23" i="44"/>
  <c r="BW2" i="28"/>
  <c r="BW2" i="44"/>
  <c r="BI4" i="28"/>
  <c r="BI4" i="44"/>
  <c r="BJ25" i="44"/>
  <c r="BU3" i="28"/>
  <c r="BU3" i="44"/>
  <c r="BY10" i="44"/>
  <c r="BV10" i="28"/>
  <c r="BV15" i="28" s="1"/>
  <c r="BW12" i="28" s="1"/>
  <c r="BV53" i="44"/>
  <c r="BV55" i="44" s="1"/>
  <c r="BX14" i="44"/>
  <c r="BX15" i="44" s="1"/>
  <c r="BX18" i="44" s="1"/>
  <c r="BX19" i="44" s="1"/>
  <c r="BX24" i="44"/>
  <c r="BV3" i="28" l="1"/>
  <c r="BV3" i="44"/>
  <c r="BX32" i="44"/>
  <c r="BX33" i="44" s="1"/>
  <c r="BX42" i="44"/>
  <c r="BX43" i="44" s="1"/>
  <c r="BX54" i="44" s="1"/>
  <c r="BX47" i="44"/>
  <c r="BX48" i="44" s="1"/>
  <c r="BX23" i="44"/>
  <c r="BX2" i="28"/>
  <c r="BX2" i="44"/>
  <c r="BJ4" i="28"/>
  <c r="BJ4" i="44"/>
  <c r="BK25" i="44"/>
  <c r="BW10" i="28"/>
  <c r="BW15" i="28" s="1"/>
  <c r="BX12" i="28" s="1"/>
  <c r="BW53" i="44"/>
  <c r="BW55" i="44" s="1"/>
  <c r="BY14" i="44"/>
  <c r="BY15" i="44" s="1"/>
  <c r="BY18" i="44" s="1"/>
  <c r="BY19" i="44" s="1"/>
  <c r="BY24" i="44"/>
  <c r="H10" i="44"/>
  <c r="BY32" i="44" l="1"/>
  <c r="BY33" i="44" s="1"/>
  <c r="BY47" i="44"/>
  <c r="BY48" i="44" s="1"/>
  <c r="H48" i="44" s="1"/>
  <c r="BY42" i="44"/>
  <c r="BY43" i="44" s="1"/>
  <c r="BY23" i="44"/>
  <c r="BY2" i="28"/>
  <c r="BY2" i="44"/>
  <c r="BK4" i="28"/>
  <c r="BK4" i="44"/>
  <c r="BL25" i="44"/>
  <c r="BX10" i="28"/>
  <c r="BX15" i="28" s="1"/>
  <c r="BY12" i="28" s="1"/>
  <c r="BX53" i="44"/>
  <c r="BX55" i="44" s="1"/>
  <c r="H14" i="44"/>
  <c r="H24" i="44"/>
  <c r="BW3" i="28"/>
  <c r="BW3" i="44"/>
  <c r="BL4" i="28" l="1"/>
  <c r="BL4" i="44"/>
  <c r="BM25" i="44"/>
  <c r="BY54" i="44"/>
  <c r="H43" i="44"/>
  <c r="H54" i="44" s="1"/>
  <c r="BY10" i="28"/>
  <c r="BY15" i="28" s="1"/>
  <c r="BY53" i="44"/>
  <c r="BY55" i="44" s="1"/>
  <c r="H33" i="44"/>
  <c r="BX3" i="28"/>
  <c r="BX3" i="44"/>
  <c r="BM4" i="28" l="1"/>
  <c r="BM4" i="44"/>
  <c r="BN25" i="44"/>
  <c r="H53" i="44"/>
  <c r="H10" i="28"/>
  <c r="BY3" i="28"/>
  <c r="BY3" i="44"/>
  <c r="BN4" i="28" l="1"/>
  <c r="BN4" i="44"/>
  <c r="BO25" i="44"/>
  <c r="BO4" i="28" l="1"/>
  <c r="BO4" i="44"/>
  <c r="BP25" i="44"/>
  <c r="BP4" i="28" l="1"/>
  <c r="BP4" i="44"/>
  <c r="BQ25" i="44"/>
  <c r="BQ4" i="28" l="1"/>
  <c r="BQ4" i="44"/>
  <c r="BR25" i="44"/>
  <c r="BR4" i="28" l="1"/>
  <c r="BR4" i="44"/>
  <c r="BS25" i="44"/>
  <c r="BS4" i="28" l="1"/>
  <c r="BS4" i="44"/>
  <c r="BT25" i="44"/>
  <c r="BT4" i="28" l="1"/>
  <c r="BT4" i="44"/>
  <c r="BU25" i="44"/>
  <c r="BU4" i="28" l="1"/>
  <c r="BU4" i="44"/>
  <c r="BV25" i="44"/>
  <c r="BV4" i="28" l="1"/>
  <c r="BV4" i="44"/>
  <c r="BW25" i="44"/>
  <c r="BW4" i="28" l="1"/>
  <c r="BW4" i="44"/>
  <c r="BX25" i="44"/>
  <c r="BX4" i="28" l="1"/>
  <c r="BX4" i="44"/>
  <c r="BY25" i="44"/>
  <c r="BY4" i="28" l="1"/>
  <c r="BY4" i="44"/>
</calcChain>
</file>

<file path=xl/sharedStrings.xml><?xml version="1.0" encoding="utf-8"?>
<sst xmlns="http://schemas.openxmlformats.org/spreadsheetml/2006/main" count="69" uniqueCount="48">
  <si>
    <t>[increases in balance]</t>
  </si>
  <si>
    <t>[reductions in balance]</t>
  </si>
  <si>
    <t>Model column counter</t>
  </si>
  <si>
    <t>First model column flag</t>
  </si>
  <si>
    <t>Acquisition / initial balance date flag</t>
  </si>
  <si>
    <t>Length of forecast period</t>
  </si>
  <si>
    <t>years</t>
  </si>
  <si>
    <t>Last forecast date</t>
  </si>
  <si>
    <t>[xxx] balance BEG</t>
  </si>
  <si>
    <t>Last forecast period flag</t>
  </si>
  <si>
    <t xml:space="preserve"> </t>
  </si>
  <si>
    <t>FLAGS</t>
  </si>
  <si>
    <t>TIME RULER</t>
  </si>
  <si>
    <t>TIMING ASSUMPTIONS</t>
  </si>
  <si>
    <t>[xxx] - Initial balance</t>
  </si>
  <si>
    <t>[xxx] balance</t>
  </si>
  <si>
    <t>flag</t>
  </si>
  <si>
    <t>date</t>
  </si>
  <si>
    <t>BALANCE</t>
  </si>
  <si>
    <t>Forecast period flag</t>
  </si>
  <si>
    <t>Opening balance sheet date</t>
  </si>
  <si>
    <t>counter</t>
  </si>
  <si>
    <t>Constant</t>
  </si>
  <si>
    <t>Unit</t>
  </si>
  <si>
    <t>Total</t>
  </si>
  <si>
    <t xml:space="preserve">Constant </t>
  </si>
  <si>
    <t xml:space="preserve">  </t>
  </si>
  <si>
    <t>label</t>
  </si>
  <si>
    <t>Financial year ending</t>
  </si>
  <si>
    <t>year #</t>
  </si>
  <si>
    <t>First modelling column financial year number</t>
  </si>
  <si>
    <t>Financial year end month number</t>
  </si>
  <si>
    <t>month #</t>
  </si>
  <si>
    <t xml:space="preserve">Model period ending </t>
  </si>
  <si>
    <t>PRE-FORECAST VS FORECAST</t>
  </si>
  <si>
    <t>plus</t>
  </si>
  <si>
    <t>less</t>
  </si>
  <si>
    <t>Months per model period</t>
  </si>
  <si>
    <t>months</t>
  </si>
  <si>
    <t xml:space="preserve">Model period beginning </t>
  </si>
  <si>
    <t>1st model column start date</t>
  </si>
  <si>
    <t>Error chks</t>
  </si>
  <si>
    <t>Track chgs</t>
  </si>
  <si>
    <t>Alerts</t>
  </si>
  <si>
    <t>Pre-forecast vs forecast</t>
  </si>
  <si>
    <t>D%$&amp;01_b4aa9b80f38b40febed3c7984a8a9650</t>
  </si>
  <si>
    <t>Windows User_7132__Windows (32-bit) NT 6.02_LENOVO_Mr A Berkley$$$17102014</t>
  </si>
  <si>
    <t>"VCW!4061"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</si>
</sst>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£&quot;* #,##0_);_(&quot;£&quot;* \(#,##0\);_(&quot;£&quot;* &quot;-&quot;_);_(@_)"/>
    <numFmt numFmtId="41" formatCode="_(* #,##0_);_(* \(#,##0\);_(* &quot;-&quot;_);_(@_)"/>
    <numFmt numFmtId="44" formatCode="_(&quot;£&quot;* #,##0.00_);_(&quot;£&quot;* \(#,##0.00\);_(&quot;£&quot;* &quot;-&quot;??_);_(@_)"/>
    <numFmt numFmtId="164" formatCode="#,##0_);\(#,##0\);&quot;-  &quot;;&quot; &quot;@"/>
    <numFmt numFmtId="165" formatCode="#,##0.0000_);\(#,##0.0000\);&quot;-  &quot;;&quot; &quot;@"/>
    <numFmt numFmtId="166" formatCode="0.00%_);\-0.00%_);&quot;-  &quot;;&quot; &quot;@"/>
    <numFmt numFmtId="167" formatCode="#,##0.0_);\(#,##0.0\);&quot;-  &quot;;&quot; &quot;@"/>
    <numFmt numFmtId="168" formatCode="dd\ mmm\ yyyy_);;&quot;-  &quot;;&quot; &quot;@"/>
    <numFmt numFmtId="169" formatCode="dd\ mmm\ yy_);;&quot;-  &quot;;&quot; &quot;@"/>
    <numFmt numFmtId="170" formatCode="###0_);\(#,##0\);&quot;-  &quot;;&quot; &quot;@"/>
    <numFmt numFmtId="171" formatCode="#,##0_);\(#,##0\);&quot;-  &quot;;&quot; &quot;@&quot; &quot;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</borders>
  <cellStyleXfs count="9">
    <xf numFmtId="164" fontId="0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6" fontId="1" fillId="0" borderId="0" applyFont="0" applyFill="0" applyBorder="0" applyProtection="0">
      <alignment vertical="top"/>
    </xf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7" fillId="0" borderId="0" applyFont="0" applyFill="0" applyBorder="0" applyProtection="0">
      <alignment vertical="top"/>
    </xf>
  </cellStyleXfs>
  <cellXfs count="135">
    <xf numFmtId="164" fontId="0" fillId="0" borderId="0" xfId="0" applyAlignment="1">
      <alignment vertical="top"/>
    </xf>
    <xf numFmtId="165" fontId="11" fillId="0" borderId="0" xfId="3" applyFont="1">
      <alignment vertical="top"/>
    </xf>
    <xf numFmtId="164" fontId="1" fillId="0" borderId="0" xfId="0" applyFont="1" applyFill="1">
      <alignment vertical="top"/>
    </xf>
    <xf numFmtId="166" fontId="11" fillId="0" borderId="0" xfId="4" applyFont="1" applyAlignment="1">
      <alignment vertical="top"/>
    </xf>
    <xf numFmtId="164" fontId="11" fillId="0" borderId="0" xfId="0" applyFo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Alignment="1">
      <alignment vertical="top"/>
    </xf>
    <xf numFmtId="164" fontId="3" fillId="0" borderId="0" xfId="0" applyFont="1" applyAlignment="1">
      <alignment horizontal="right" vertical="top"/>
    </xf>
    <xf numFmtId="164" fontId="3" fillId="0" borderId="0" xfId="0" applyFont="1" applyAlignment="1">
      <alignment vertical="top"/>
    </xf>
    <xf numFmtId="164" fontId="5" fillId="0" borderId="0" xfId="0" applyFont="1" applyBorder="1" applyAlignment="1">
      <alignment vertical="top"/>
    </xf>
    <xf numFmtId="164" fontId="6" fillId="0" borderId="0" xfId="0" applyFont="1" applyBorder="1" applyAlignment="1">
      <alignment vertical="top"/>
    </xf>
    <xf numFmtId="164" fontId="5" fillId="0" borderId="0" xfId="0" applyFont="1" applyAlignment="1">
      <alignment vertical="top"/>
    </xf>
    <xf numFmtId="164" fontId="0" fillId="0" borderId="0" xfId="0" applyFont="1" applyAlignment="1">
      <alignment horizontal="right" vertical="top"/>
    </xf>
    <xf numFmtId="164" fontId="0" fillId="0" borderId="0" xfId="0" applyFont="1" applyAlignment="1">
      <alignment vertical="top"/>
    </xf>
    <xf numFmtId="164" fontId="0" fillId="0" borderId="0" xfId="0" applyFont="1" applyBorder="1" applyAlignment="1">
      <alignment horizontal="right" vertical="top"/>
    </xf>
    <xf numFmtId="164" fontId="0" fillId="0" borderId="0" xfId="0" applyFont="1" applyBorder="1" applyAlignment="1">
      <alignment vertical="top"/>
    </xf>
    <xf numFmtId="164" fontId="7" fillId="0" borderId="0" xfId="0" applyFont="1" applyBorder="1" applyAlignment="1">
      <alignment vertical="top"/>
    </xf>
    <xf numFmtId="164" fontId="6" fillId="0" borderId="0" xfId="0" applyFont="1" applyFill="1" applyAlignment="1">
      <alignment vertical="top"/>
    </xf>
    <xf numFmtId="164" fontId="0" fillId="0" borderId="0" xfId="0" applyFont="1" applyFill="1" applyAlignment="1">
      <alignment horizontal="right" vertical="top"/>
    </xf>
    <xf numFmtId="164" fontId="0" fillId="0" borderId="0" xfId="0" applyFont="1" applyFill="1" applyAlignment="1">
      <alignment vertical="top"/>
    </xf>
    <xf numFmtId="164" fontId="1" fillId="0" borderId="0" xfId="0" applyFont="1" applyFill="1" applyAlignment="1">
      <alignment vertical="top"/>
    </xf>
    <xf numFmtId="169" fontId="5" fillId="0" borderId="0" xfId="2" applyFont="1" applyAlignment="1">
      <alignment vertical="top"/>
    </xf>
    <xf numFmtId="169" fontId="5" fillId="0" borderId="0" xfId="2" applyFont="1" applyFill="1" applyAlignment="1">
      <alignment vertical="top"/>
    </xf>
    <xf numFmtId="169" fontId="0" fillId="0" borderId="0" xfId="2" applyFont="1" applyAlignment="1">
      <alignment vertical="top"/>
    </xf>
    <xf numFmtId="168" fontId="3" fillId="2" borderId="0" xfId="1" applyFont="1" applyFill="1" applyAlignment="1">
      <alignment vertical="top"/>
    </xf>
    <xf numFmtId="168" fontId="5" fillId="0" borderId="0" xfId="1" applyFont="1" applyFill="1" applyAlignment="1">
      <alignment vertical="top"/>
    </xf>
    <xf numFmtId="169" fontId="0" fillId="0" borderId="0" xfId="2" applyFont="1" applyAlignment="1">
      <alignment horizontal="right" vertical="top"/>
    </xf>
    <xf numFmtId="164" fontId="1" fillId="0" borderId="0" xfId="0" applyFont="1" applyAlignment="1">
      <alignment horizontal="right" vertical="top"/>
    </xf>
    <xf numFmtId="164" fontId="1" fillId="0" borderId="0" xfId="0" applyFont="1" applyAlignment="1">
      <alignment vertical="top"/>
    </xf>
    <xf numFmtId="168" fontId="6" fillId="0" borderId="0" xfId="1" applyFont="1" applyFill="1" applyAlignment="1">
      <alignment vertical="top"/>
    </xf>
    <xf numFmtId="168" fontId="3" fillId="0" borderId="0" xfId="1" applyFont="1" applyFill="1" applyAlignment="1">
      <alignment horizontal="right" vertical="top"/>
    </xf>
    <xf numFmtId="168" fontId="3" fillId="0" borderId="0" xfId="1" applyFont="1" applyAlignment="1">
      <alignment vertical="top"/>
    </xf>
    <xf numFmtId="168" fontId="3" fillId="0" borderId="0" xfId="1" applyFont="1" applyFill="1" applyAlignment="1">
      <alignment vertical="top"/>
    </xf>
    <xf numFmtId="169" fontId="6" fillId="0" borderId="0" xfId="2" applyFont="1" applyAlignment="1">
      <alignment vertical="top"/>
    </xf>
    <xf numFmtId="164" fontId="8" fillId="0" borderId="0" xfId="0" applyFont="1" applyBorder="1" applyAlignment="1">
      <alignment vertical="top"/>
    </xf>
    <xf numFmtId="164" fontId="9" fillId="0" borderId="0" xfId="0" applyFont="1" applyBorder="1" applyAlignment="1">
      <alignment vertical="top"/>
    </xf>
    <xf numFmtId="169" fontId="3" fillId="0" borderId="0" xfId="2" applyFont="1" applyFill="1" applyAlignment="1">
      <alignment vertical="top"/>
    </xf>
    <xf numFmtId="169" fontId="6" fillId="0" borderId="0" xfId="2" applyFont="1" applyFill="1" applyAlignment="1">
      <alignment vertical="top"/>
    </xf>
    <xf numFmtId="169" fontId="3" fillId="0" borderId="0" xfId="2" applyFont="1" applyFill="1" applyAlignment="1">
      <alignment horizontal="right" vertical="top"/>
    </xf>
    <xf numFmtId="164" fontId="0" fillId="2" borderId="0" xfId="0" applyFont="1" applyFill="1" applyAlignment="1">
      <alignment vertical="top"/>
    </xf>
    <xf numFmtId="164" fontId="5" fillId="3" borderId="0" xfId="0" applyFont="1" applyFill="1" applyBorder="1" applyAlignment="1">
      <alignment vertical="top"/>
    </xf>
    <xf numFmtId="164" fontId="6" fillId="3" borderId="0" xfId="0" applyFont="1" applyFill="1" applyBorder="1" applyAlignment="1">
      <alignment vertical="top"/>
    </xf>
    <xf numFmtId="164" fontId="5" fillId="0" borderId="1" xfId="0" applyFont="1" applyBorder="1" applyAlignment="1">
      <alignment vertical="top"/>
    </xf>
    <xf numFmtId="164" fontId="6" fillId="0" borderId="1" xfId="0" applyFont="1" applyBorder="1" applyAlignment="1">
      <alignment vertical="top"/>
    </xf>
    <xf numFmtId="164" fontId="11" fillId="0" borderId="0" xfId="0" applyFont="1" applyBorder="1" applyAlignment="1">
      <alignment vertical="top"/>
    </xf>
    <xf numFmtId="164" fontId="11" fillId="0" borderId="0" xfId="0" applyFont="1" applyAlignment="1">
      <alignment vertical="top"/>
    </xf>
    <xf numFmtId="164" fontId="11" fillId="0" borderId="0" xfId="0" applyFont="1" applyFill="1" applyBorder="1" applyAlignment="1">
      <alignment vertical="top"/>
    </xf>
    <xf numFmtId="164" fontId="11" fillId="0" borderId="0" xfId="0" applyFont="1" applyAlignment="1">
      <alignment horizontal="right" vertical="top"/>
    </xf>
    <xf numFmtId="164" fontId="11" fillId="0" borderId="0" xfId="0" applyFont="1" applyBorder="1" applyAlignment="1">
      <alignment horizontal="right" vertical="top"/>
    </xf>
    <xf numFmtId="164" fontId="11" fillId="0" borderId="1" xfId="0" applyFont="1" applyBorder="1" applyAlignment="1">
      <alignment horizontal="right" vertical="top"/>
    </xf>
    <xf numFmtId="164" fontId="11" fillId="3" borderId="1" xfId="0" applyFont="1" applyFill="1" applyBorder="1" applyAlignment="1">
      <alignment vertical="top"/>
    </xf>
    <xf numFmtId="164" fontId="11" fillId="0" borderId="1" xfId="0" applyFont="1" applyFill="1" applyBorder="1" applyAlignment="1">
      <alignment vertical="top"/>
    </xf>
    <xf numFmtId="164" fontId="11" fillId="0" borderId="1" xfId="0" applyFont="1" applyBorder="1" applyAlignment="1">
      <alignment vertical="top"/>
    </xf>
    <xf numFmtId="164" fontId="11" fillId="3" borderId="0" xfId="0" applyFont="1" applyFill="1" applyBorder="1" applyAlignment="1">
      <alignment vertical="top"/>
    </xf>
    <xf numFmtId="164" fontId="11" fillId="3" borderId="0" xfId="0" applyFont="1" applyFill="1" applyBorder="1" applyAlignment="1">
      <alignment horizontal="right" vertical="top"/>
    </xf>
    <xf numFmtId="164" fontId="7" fillId="0" borderId="0" xfId="0" applyFont="1" applyBorder="1" applyAlignment="1">
      <alignment horizontal="right" vertical="top"/>
    </xf>
    <xf numFmtId="164" fontId="12" fillId="0" borderId="0" xfId="0" applyFont="1" applyFill="1" applyAlignment="1">
      <alignment vertical="top"/>
    </xf>
    <xf numFmtId="164" fontId="4" fillId="0" borderId="0" xfId="0" applyFont="1" applyFill="1" applyAlignment="1">
      <alignment vertical="top"/>
    </xf>
    <xf numFmtId="169" fontId="5" fillId="0" borderId="0" xfId="2" applyFont="1" applyFill="1" applyBorder="1" applyAlignment="1">
      <alignment vertical="top"/>
    </xf>
    <xf numFmtId="169" fontId="10" fillId="0" borderId="0" xfId="2" applyFont="1" applyFill="1" applyBorder="1" applyAlignment="1">
      <alignment vertical="top"/>
    </xf>
    <xf numFmtId="169" fontId="5" fillId="0" borderId="0" xfId="2" applyFont="1" applyFill="1" applyBorder="1" applyAlignment="1">
      <alignment horizontal="right" vertical="top"/>
    </xf>
    <xf numFmtId="169" fontId="3" fillId="0" borderId="0" xfId="2" applyFont="1" applyFill="1" applyBorder="1" applyAlignment="1">
      <alignment vertical="top"/>
    </xf>
    <xf numFmtId="169" fontId="3" fillId="0" borderId="0" xfId="2" applyFont="1" applyFill="1" applyBorder="1" applyAlignment="1">
      <alignment horizontal="right" vertical="top"/>
    </xf>
    <xf numFmtId="164" fontId="5" fillId="0" borderId="0" xfId="0" applyFont="1" applyFill="1" applyBorder="1" applyAlignment="1">
      <alignment vertical="top"/>
    </xf>
    <xf numFmtId="164" fontId="6" fillId="0" borderId="0" xfId="0" applyFont="1" applyFill="1" applyBorder="1" applyAlignment="1">
      <alignment vertical="top"/>
    </xf>
    <xf numFmtId="164" fontId="3" fillId="0" borderId="0" xfId="0" applyFont="1" applyFill="1" applyBorder="1" applyAlignment="1">
      <alignment horizontal="right" vertical="top"/>
    </xf>
    <xf numFmtId="164" fontId="3" fillId="0" borderId="0" xfId="0" applyFont="1" applyFill="1" applyBorder="1" applyAlignment="1">
      <alignment vertical="top"/>
    </xf>
    <xf numFmtId="164" fontId="1" fillId="0" borderId="0" xfId="0" applyFont="1" applyFill="1" applyAlignment="1">
      <alignment horizontal="right" vertical="top"/>
    </xf>
    <xf numFmtId="164" fontId="1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Alignment="1">
      <alignment vertical="top"/>
    </xf>
    <xf numFmtId="1" fontId="6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vertical="top"/>
    </xf>
    <xf numFmtId="1" fontId="11" fillId="0" borderId="0" xfId="0" applyNumberFormat="1" applyFont="1" applyAlignment="1">
      <alignment horizontal="right" vertical="top"/>
    </xf>
    <xf numFmtId="1" fontId="11" fillId="0" borderId="0" xfId="0" applyNumberFormat="1" applyFont="1" applyAlignment="1">
      <alignment vertical="top"/>
    </xf>
    <xf numFmtId="1" fontId="11" fillId="4" borderId="0" xfId="0" applyNumberFormat="1" applyFont="1" applyFill="1" applyAlignment="1">
      <alignment vertical="top"/>
    </xf>
    <xf numFmtId="168" fontId="11" fillId="0" borderId="0" xfId="1" applyFont="1" applyFill="1" applyAlignment="1">
      <alignment horizontal="right" vertical="top"/>
    </xf>
    <xf numFmtId="168" fontId="11" fillId="0" borderId="0" xfId="1" applyFont="1" applyFill="1" applyAlignment="1">
      <alignment vertical="top"/>
    </xf>
    <xf numFmtId="164" fontId="5" fillId="0" borderId="2" xfId="0" applyFont="1" applyBorder="1" applyAlignment="1">
      <alignment vertical="top"/>
    </xf>
    <xf numFmtId="164" fontId="6" fillId="0" borderId="2" xfId="0" applyFont="1" applyBorder="1" applyAlignment="1">
      <alignment vertical="top"/>
    </xf>
    <xf numFmtId="164" fontId="11" fillId="0" borderId="2" xfId="0" applyFont="1" applyBorder="1" applyAlignment="1">
      <alignment horizontal="right" vertical="top"/>
    </xf>
    <xf numFmtId="164" fontId="11" fillId="3" borderId="2" xfId="0" applyFont="1" applyFill="1" applyBorder="1" applyAlignment="1">
      <alignment vertical="top"/>
    </xf>
    <xf numFmtId="164" fontId="11" fillId="0" borderId="2" xfId="0" applyFont="1" applyBorder="1" applyAlignment="1">
      <alignment vertical="top"/>
    </xf>
    <xf numFmtId="164" fontId="11" fillId="0" borderId="2" xfId="0" applyFont="1" applyFill="1" applyBorder="1" applyAlignment="1">
      <alignment vertical="top"/>
    </xf>
    <xf numFmtId="164" fontId="11" fillId="4" borderId="2" xfId="0" applyFont="1" applyFill="1" applyBorder="1" applyAlignment="1">
      <alignment vertical="top"/>
    </xf>
    <xf numFmtId="164" fontId="0" fillId="2" borderId="0" xfId="0" applyFont="1" applyFill="1">
      <alignment vertical="top"/>
    </xf>
    <xf numFmtId="164" fontId="5" fillId="0" borderId="0" xfId="0" applyFont="1" applyFill="1" applyBorder="1" applyAlignment="1">
      <alignment horizontal="right" vertical="top"/>
    </xf>
    <xf numFmtId="164" fontId="1" fillId="2" borderId="0" xfId="0" applyFont="1" applyFill="1" applyAlignment="1">
      <alignment vertical="top"/>
    </xf>
    <xf numFmtId="169" fontId="11" fillId="0" borderId="0" xfId="2" applyFont="1" applyFill="1" applyAlignment="1">
      <alignment horizontal="right" vertical="top"/>
    </xf>
    <xf numFmtId="169" fontId="11" fillId="0" borderId="0" xfId="2" applyFont="1" applyFill="1" applyAlignment="1">
      <alignment vertical="top"/>
    </xf>
    <xf numFmtId="167" fontId="5" fillId="0" borderId="0" xfId="3" applyNumberFormat="1" applyFont="1" applyFill="1">
      <alignment vertical="top"/>
    </xf>
    <xf numFmtId="167" fontId="5" fillId="0" borderId="0" xfId="3" applyNumberFormat="1" applyFont="1">
      <alignment vertical="top"/>
    </xf>
    <xf numFmtId="167" fontId="6" fillId="0" borderId="0" xfId="3" applyNumberFormat="1" applyFont="1">
      <alignment vertical="top"/>
    </xf>
    <xf numFmtId="167" fontId="11" fillId="0" borderId="0" xfId="3" applyNumberFormat="1" applyFont="1">
      <alignment vertical="top"/>
    </xf>
    <xf numFmtId="167" fontId="11" fillId="4" borderId="0" xfId="3" applyNumberFormat="1" applyFont="1" applyFill="1">
      <alignment vertical="top"/>
    </xf>
    <xf numFmtId="169" fontId="11" fillId="4" borderId="0" xfId="2" applyFont="1" applyFill="1" applyAlignment="1">
      <alignment vertical="top"/>
    </xf>
    <xf numFmtId="164" fontId="4" fillId="0" borderId="0" xfId="0" applyFont="1" applyAlignment="1">
      <alignment vertical="top"/>
    </xf>
    <xf numFmtId="164" fontId="13" fillId="0" borderId="0" xfId="0" applyFont="1" applyAlignment="1">
      <alignment horizontal="right" vertical="top"/>
    </xf>
    <xf numFmtId="164" fontId="13" fillId="0" borderId="0" xfId="0" applyFont="1" applyAlignment="1">
      <alignment vertical="top"/>
    </xf>
    <xf numFmtId="164" fontId="5" fillId="0" borderId="0" xfId="0" applyFont="1" applyFill="1">
      <alignment vertical="top"/>
    </xf>
    <xf numFmtId="164" fontId="4" fillId="0" borderId="0" xfId="0" applyFont="1" applyFill="1">
      <alignment vertical="top"/>
    </xf>
    <xf numFmtId="164" fontId="13" fillId="0" borderId="0" xfId="0" applyFont="1" applyFill="1">
      <alignment vertical="top"/>
    </xf>
    <xf numFmtId="168" fontId="14" fillId="0" borderId="0" xfId="1" applyFont="1" applyFill="1" applyAlignment="1">
      <alignment vertical="top"/>
    </xf>
    <xf numFmtId="168" fontId="14" fillId="0" borderId="0" xfId="1" applyFont="1" applyAlignment="1">
      <alignment vertical="top"/>
    </xf>
    <xf numFmtId="168" fontId="15" fillId="0" borderId="0" xfId="1" applyFont="1" applyAlignment="1">
      <alignment vertical="top"/>
    </xf>
    <xf numFmtId="168" fontId="16" fillId="0" borderId="0" xfId="1" applyFont="1" applyAlignment="1">
      <alignment horizontal="right" vertical="top"/>
    </xf>
    <xf numFmtId="168" fontId="16" fillId="0" borderId="0" xfId="1" applyFont="1" applyAlignment="1">
      <alignment vertical="top"/>
    </xf>
    <xf numFmtId="168" fontId="16" fillId="0" borderId="0" xfId="1" applyFont="1" applyFill="1" applyAlignment="1">
      <alignment vertical="top"/>
    </xf>
    <xf numFmtId="164" fontId="16" fillId="0" borderId="0" xfId="0" applyFont="1" applyFill="1" applyAlignment="1">
      <alignment vertical="top"/>
    </xf>
    <xf numFmtId="169" fontId="14" fillId="0" borderId="0" xfId="2" applyFont="1" applyFill="1" applyAlignment="1">
      <alignment vertical="top"/>
    </xf>
    <xf numFmtId="169" fontId="15" fillId="0" borderId="0" xfId="2" applyFont="1" applyFill="1" applyAlignment="1">
      <alignment vertical="top"/>
    </xf>
    <xf numFmtId="169" fontId="16" fillId="0" borderId="0" xfId="2" applyFont="1" applyFill="1" applyAlignment="1">
      <alignment horizontal="right" vertical="top"/>
    </xf>
    <xf numFmtId="169" fontId="16" fillId="0" borderId="0" xfId="2" applyFont="1" applyFill="1" applyAlignment="1">
      <alignment vertical="top"/>
    </xf>
    <xf numFmtId="1" fontId="16" fillId="0" borderId="0" xfId="0" applyNumberFormat="1" applyFont="1" applyFill="1" applyAlignment="1">
      <alignment vertical="top"/>
    </xf>
    <xf numFmtId="168" fontId="16" fillId="0" borderId="0" xfId="1" applyFont="1">
      <alignment vertical="top"/>
    </xf>
    <xf numFmtId="1" fontId="0" fillId="0" borderId="0" xfId="0" applyNumberFormat="1" applyFont="1" applyFill="1" applyAlignment="1">
      <alignment vertical="top"/>
    </xf>
    <xf numFmtId="164" fontId="5" fillId="0" borderId="0" xfId="8" applyFont="1" applyFill="1">
      <alignment vertical="top"/>
    </xf>
    <xf numFmtId="164" fontId="4" fillId="0" borderId="0" xfId="8" applyFont="1" applyFill="1">
      <alignment vertical="top"/>
    </xf>
    <xf numFmtId="164" fontId="1" fillId="0" borderId="0" xfId="8" applyFont="1" applyFill="1">
      <alignment vertical="top"/>
    </xf>
    <xf numFmtId="164" fontId="6" fillId="0" borderId="0" xfId="8" applyFont="1" applyFill="1">
      <alignment vertical="top"/>
    </xf>
    <xf numFmtId="164" fontId="3" fillId="0" borderId="0" xfId="8" applyFont="1" applyFill="1">
      <alignment vertical="top"/>
    </xf>
    <xf numFmtId="164" fontId="14" fillId="0" borderId="0" xfId="8" applyFont="1" applyFill="1">
      <alignment vertical="top"/>
    </xf>
    <xf numFmtId="164" fontId="15" fillId="0" borderId="0" xfId="8" applyFont="1" applyFill="1">
      <alignment vertical="top"/>
    </xf>
    <xf numFmtId="164" fontId="16" fillId="0" borderId="0" xfId="8" applyFont="1" applyFill="1">
      <alignment vertical="top"/>
    </xf>
    <xf numFmtId="168" fontId="14" fillId="0" borderId="0" xfId="1" applyFont="1" applyFill="1">
      <alignment vertical="top"/>
    </xf>
    <xf numFmtId="168" fontId="14" fillId="0" borderId="0" xfId="1" applyFont="1">
      <alignment vertical="top"/>
    </xf>
    <xf numFmtId="168" fontId="15" fillId="0" borderId="0" xfId="1" applyFont="1">
      <alignment vertical="top"/>
    </xf>
    <xf numFmtId="170" fontId="1" fillId="0" borderId="0" xfId="0" applyNumberFormat="1" applyFont="1" applyFill="1">
      <alignment vertical="top"/>
    </xf>
    <xf numFmtId="170" fontId="1" fillId="5" borderId="0" xfId="0" applyNumberFormat="1" applyFont="1" applyFill="1">
      <alignment vertical="top"/>
    </xf>
    <xf numFmtId="169" fontId="4" fillId="0" borderId="0" xfId="2" applyFont="1" applyFill="1" applyBorder="1" applyAlignment="1">
      <alignment vertical="top"/>
    </xf>
    <xf numFmtId="164" fontId="1" fillId="6" borderId="0" xfId="0" applyFont="1" applyFill="1" applyAlignment="1">
      <alignment horizontal="right" vertical="top"/>
    </xf>
    <xf numFmtId="171" fontId="18" fillId="0" borderId="0" xfId="0" applyNumberFormat="1" applyFont="1" applyBorder="1" applyAlignment="1">
      <alignment horizontal="left" vertical="top"/>
    </xf>
    <xf numFmtId="164" fontId="1" fillId="6" borderId="0" xfId="0" applyFont="1" applyFill="1" applyBorder="1" applyAlignment="1">
      <alignment horizontal="right" vertical="top"/>
    </xf>
    <xf numFmtId="164" fontId="1" fillId="7" borderId="0" xfId="0" applyFont="1" applyFill="1" applyAlignment="1">
      <alignment horizontal="right" vertical="top"/>
    </xf>
  </cellXfs>
  <cellStyles count="9">
    <cellStyle name="Comma" xfId="8" builtinId="3" customBuiltin="1"/>
    <cellStyle name="Comma [0]" xfId="5" builtinId="6" hidden="1"/>
    <cellStyle name="Currency" xfId="6" builtinId="4" hidden="1"/>
    <cellStyle name="Currency [0]" xfId="7" builtinId="7" hidden="1"/>
    <cellStyle name="DateLong" xfId="1"/>
    <cellStyle name="DateShort" xfId="2"/>
    <cellStyle name="Factor" xfId="3"/>
    <cellStyle name="Normal" xfId="0" builtinId="0" customBuiltin="1"/>
    <cellStyle name="Percent" xfId="4" builtinId="5" customBuiltin="1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AEAE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3"/>
    <outlinePr summaryBelow="0" summaryRight="0"/>
  </sheetPr>
  <dimension ref="A1:BY22"/>
  <sheetViews>
    <sheetView defaultGridColor="0" colorId="22" zoomScale="80" zoomScaleNormal="80" workbookViewId="0">
      <pane xSplit="9" ySplit="5" topLeftCell="J6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defaultColWidth="0" defaultRowHeight="12.75" x14ac:dyDescent="0.2"/>
  <cols>
    <col min="1" max="2" width="1.28515625" style="5" customWidth="1"/>
    <col min="3" max="3" width="1.28515625" style="17" customWidth="1"/>
    <col min="4" max="4" width="1.28515625" style="67" customWidth="1"/>
    <col min="5" max="5" width="40.7109375" style="20" customWidth="1"/>
    <col min="6" max="6" width="12.7109375" style="20" customWidth="1"/>
    <col min="7" max="8" width="11.7109375" style="20" customWidth="1"/>
    <col min="9" max="9" width="2.7109375" style="20" customWidth="1"/>
    <col min="10" max="27" width="11.7109375" style="20" customWidth="1"/>
    <col min="28" max="16384" width="0" style="20" hidden="1"/>
  </cols>
  <sheetData>
    <row r="1" spans="1:77" s="56" customFormat="1" ht="26.25" x14ac:dyDescent="0.2">
      <c r="A1" s="56" t="str">
        <f ca="1" xml:space="preserve"> RIGHT(CELL("filename", A1), LEN(CELL("filename", A1)) - SEARCH("]", CELL("filename", A1)))</f>
        <v>InpC</v>
      </c>
      <c r="B1" s="5"/>
      <c r="C1" s="57"/>
      <c r="D1" s="6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66" customFormat="1" x14ac:dyDescent="0.2">
      <c r="A2" s="63"/>
      <c r="B2" s="63"/>
      <c r="C2" s="64"/>
      <c r="D2" s="65"/>
      <c r="F2" s="131"/>
      <c r="G2" s="132" t="s">
        <v>41</v>
      </c>
      <c r="H2" s="68"/>
    </row>
    <row r="3" spans="1:77" s="66" customFormat="1" x14ac:dyDescent="0.2">
      <c r="A3" s="63"/>
      <c r="B3" s="63"/>
      <c r="C3" s="64"/>
      <c r="D3" s="65"/>
      <c r="F3" s="133"/>
      <c r="G3" s="132" t="s">
        <v>42</v>
      </c>
      <c r="H3" s="68"/>
    </row>
    <row r="4" spans="1:77" s="66" customFormat="1" x14ac:dyDescent="0.2">
      <c r="A4" s="63"/>
      <c r="B4" s="63"/>
      <c r="C4" s="64"/>
      <c r="D4" s="65"/>
      <c r="F4" s="133"/>
      <c r="G4" s="132" t="s">
        <v>43</v>
      </c>
      <c r="H4" s="68"/>
    </row>
    <row r="5" spans="1:77" s="58" customFormat="1" x14ac:dyDescent="0.2">
      <c r="C5" s="59"/>
      <c r="D5" s="60"/>
      <c r="E5" s="61"/>
      <c r="F5" s="87" t="s">
        <v>25</v>
      </c>
      <c r="G5" s="63" t="s">
        <v>23</v>
      </c>
      <c r="H5" s="87"/>
    </row>
    <row r="7" spans="1:77" x14ac:dyDescent="0.2">
      <c r="A7" s="5" t="s">
        <v>13</v>
      </c>
    </row>
    <row r="9" spans="1:77" s="32" customFormat="1" x14ac:dyDescent="0.2">
      <c r="A9" s="25"/>
      <c r="B9" s="25"/>
      <c r="C9" s="29"/>
      <c r="D9" s="30"/>
      <c r="E9" s="32" t="s">
        <v>40</v>
      </c>
      <c r="F9" s="24">
        <v>40664</v>
      </c>
      <c r="G9" s="32" t="s">
        <v>17</v>
      </c>
    </row>
    <row r="11" spans="1:77" x14ac:dyDescent="0.2">
      <c r="E11" s="20" t="s">
        <v>37</v>
      </c>
      <c r="F11" s="88">
        <v>1</v>
      </c>
      <c r="G11" s="20" t="s">
        <v>38</v>
      </c>
    </row>
    <row r="13" spans="1:77" s="32" customFormat="1" x14ac:dyDescent="0.2">
      <c r="A13" s="25"/>
      <c r="B13" s="25"/>
      <c r="C13" s="29"/>
      <c r="D13" s="30"/>
      <c r="E13" s="20" t="s">
        <v>20</v>
      </c>
      <c r="F13" s="24">
        <v>40694</v>
      </c>
      <c r="G13" s="32" t="s">
        <v>17</v>
      </c>
    </row>
    <row r="14" spans="1:77" s="19" customFormat="1" x14ac:dyDescent="0.2">
      <c r="A14" s="5"/>
      <c r="B14" s="5"/>
      <c r="C14" s="17"/>
      <c r="D14" s="18"/>
      <c r="E14" s="20" t="s">
        <v>5</v>
      </c>
      <c r="F14" s="39">
        <v>5</v>
      </c>
      <c r="G14" s="19" t="s">
        <v>6</v>
      </c>
    </row>
    <row r="16" spans="1:77" s="116" customFormat="1" x14ac:dyDescent="0.2">
      <c r="E16" s="128" t="s">
        <v>30</v>
      </c>
      <c r="F16" s="129">
        <v>2011</v>
      </c>
      <c r="G16" s="128" t="s">
        <v>29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</row>
    <row r="17" spans="5:13" x14ac:dyDescent="0.2">
      <c r="E17" s="36" t="s">
        <v>31</v>
      </c>
      <c r="F17" s="86">
        <v>6</v>
      </c>
      <c r="G17" s="36" t="s">
        <v>32</v>
      </c>
    </row>
    <row r="22" spans="5:13" x14ac:dyDescent="0.2">
      <c r="M22" s="2"/>
    </row>
  </sheetData>
  <phoneticPr fontId="2" type="noConversion"/>
  <conditionalFormatting sqref="F3:F4">
    <cfRule type="cellIs" dxfId="15" priority="1" stopIfTrue="1" operator="notEqual">
      <formula>0</formula>
    </cfRule>
    <cfRule type="cellIs" dxfId="14" priority="2" stopIfTrue="1" operator="equal">
      <formula>""</formula>
    </cfRule>
  </conditionalFormatting>
  <conditionalFormatting sqref="F2">
    <cfRule type="cellIs" dxfId="13" priority="3" stopIfTrue="1" operator="notEqual">
      <formula>0</formula>
    </cfRule>
    <cfRule type="cellIs" dxfId="12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[project name]&amp;C&amp;"Arial,Bold"&amp;14Sheet: &amp;A&amp;R&amp;"Arial,Bold"&amp;14STRICTLY  CONFIDENTIAL</oddHeader>
    <oddFooter>&amp;L&amp;F ( Printed on &amp;D at &amp;T )&amp;RPage &amp;P</oddFooter>
  </headerFooter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BY55"/>
  <sheetViews>
    <sheetView defaultGridColor="0" colorId="22" zoomScale="80" zoomScaleNormal="80" workbookViewId="0">
      <pane xSplit="9" ySplit="5" topLeftCell="J6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defaultColWidth="0" defaultRowHeight="12.75" x14ac:dyDescent="0.2"/>
  <cols>
    <col min="1" max="2" width="1.28515625" style="5" customWidth="1"/>
    <col min="3" max="3" width="1.28515625" style="17" customWidth="1"/>
    <col min="4" max="4" width="1.28515625" style="27" customWidth="1"/>
    <col min="5" max="5" width="40.7109375" style="28" customWidth="1"/>
    <col min="6" max="6" width="12.7109375" style="28" customWidth="1"/>
    <col min="7" max="8" width="11.7109375" style="28" customWidth="1"/>
    <col min="9" max="9" width="2.7109375" style="28" customWidth="1"/>
    <col min="10" max="77" width="11.7109375" style="28" customWidth="1"/>
    <col min="78" max="16384" width="0" style="28" hidden="1"/>
  </cols>
  <sheetData>
    <row r="1" spans="1:77" s="56" customFormat="1" ht="26.25" x14ac:dyDescent="0.2">
      <c r="A1" s="56" t="str">
        <f ca="1" xml:space="preserve"> RIGHT(CELL("filename", A1), LEN(CELL("filename", A1)) - SEARCH("]", CELL("filename", A1)))</f>
        <v>Time</v>
      </c>
      <c r="B1" s="5"/>
      <c r="C1" s="57"/>
      <c r="D1" s="6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58" customFormat="1" x14ac:dyDescent="0.2">
      <c r="C2" s="130"/>
      <c r="D2" s="60"/>
      <c r="E2" s="61" t="str">
        <f xml:space="preserve"> E$19</f>
        <v xml:space="preserve">Model period ending </v>
      </c>
      <c r="F2" s="131"/>
      <c r="G2" s="132" t="s">
        <v>41</v>
      </c>
      <c r="H2" s="62"/>
      <c r="J2" s="58">
        <f t="shared" ref="J2:BQ2" si="0" xml:space="preserve"> J$19</f>
        <v>40694</v>
      </c>
      <c r="K2" s="58">
        <f t="shared" si="0"/>
        <v>40724</v>
      </c>
      <c r="L2" s="58">
        <f t="shared" si="0"/>
        <v>40755</v>
      </c>
      <c r="M2" s="58">
        <f t="shared" si="0"/>
        <v>40786</v>
      </c>
      <c r="N2" s="58">
        <f t="shared" si="0"/>
        <v>40816</v>
      </c>
      <c r="O2" s="58">
        <f t="shared" si="0"/>
        <v>40847</v>
      </c>
      <c r="P2" s="58">
        <f t="shared" si="0"/>
        <v>40877</v>
      </c>
      <c r="Q2" s="58">
        <f t="shared" si="0"/>
        <v>40908</v>
      </c>
      <c r="R2" s="58">
        <f t="shared" si="0"/>
        <v>40939</v>
      </c>
      <c r="S2" s="58">
        <f t="shared" si="0"/>
        <v>40968</v>
      </c>
      <c r="T2" s="58">
        <f t="shared" si="0"/>
        <v>40999</v>
      </c>
      <c r="U2" s="58">
        <f t="shared" si="0"/>
        <v>41029</v>
      </c>
      <c r="V2" s="58">
        <f t="shared" si="0"/>
        <v>41060</v>
      </c>
      <c r="W2" s="58">
        <f t="shared" si="0"/>
        <v>41090</v>
      </c>
      <c r="X2" s="58">
        <f t="shared" si="0"/>
        <v>41121</v>
      </c>
      <c r="Y2" s="58">
        <f t="shared" si="0"/>
        <v>41152</v>
      </c>
      <c r="Z2" s="58">
        <f t="shared" si="0"/>
        <v>41182</v>
      </c>
      <c r="AA2" s="58">
        <f t="shared" si="0"/>
        <v>41213</v>
      </c>
      <c r="AB2" s="58">
        <f t="shared" si="0"/>
        <v>41243</v>
      </c>
      <c r="AC2" s="58">
        <f t="shared" si="0"/>
        <v>41274</v>
      </c>
      <c r="AD2" s="58">
        <f t="shared" si="0"/>
        <v>41305</v>
      </c>
      <c r="AE2" s="58">
        <f t="shared" si="0"/>
        <v>41333</v>
      </c>
      <c r="AF2" s="58">
        <f t="shared" si="0"/>
        <v>41364</v>
      </c>
      <c r="AG2" s="58">
        <f t="shared" si="0"/>
        <v>41394</v>
      </c>
      <c r="AH2" s="58">
        <f t="shared" si="0"/>
        <v>41425</v>
      </c>
      <c r="AI2" s="58">
        <f t="shared" si="0"/>
        <v>41455</v>
      </c>
      <c r="AJ2" s="58">
        <f t="shared" si="0"/>
        <v>41486</v>
      </c>
      <c r="AK2" s="58">
        <f t="shared" si="0"/>
        <v>41517</v>
      </c>
      <c r="AL2" s="58">
        <f t="shared" si="0"/>
        <v>41547</v>
      </c>
      <c r="AM2" s="58">
        <f t="shared" si="0"/>
        <v>41578</v>
      </c>
      <c r="AN2" s="58">
        <f t="shared" si="0"/>
        <v>41608</v>
      </c>
      <c r="AO2" s="58">
        <f t="shared" si="0"/>
        <v>41639</v>
      </c>
      <c r="AP2" s="58">
        <f t="shared" si="0"/>
        <v>41670</v>
      </c>
      <c r="AQ2" s="58">
        <f t="shared" si="0"/>
        <v>41698</v>
      </c>
      <c r="AR2" s="58">
        <f t="shared" si="0"/>
        <v>41729</v>
      </c>
      <c r="AS2" s="58">
        <f t="shared" si="0"/>
        <v>41759</v>
      </c>
      <c r="AT2" s="58">
        <f t="shared" si="0"/>
        <v>41790</v>
      </c>
      <c r="AU2" s="58">
        <f t="shared" si="0"/>
        <v>41820</v>
      </c>
      <c r="AV2" s="58">
        <f t="shared" si="0"/>
        <v>41851</v>
      </c>
      <c r="AW2" s="58">
        <f t="shared" si="0"/>
        <v>41882</v>
      </c>
      <c r="AX2" s="58">
        <f t="shared" si="0"/>
        <v>41912</v>
      </c>
      <c r="AY2" s="58">
        <f t="shared" si="0"/>
        <v>41943</v>
      </c>
      <c r="AZ2" s="58">
        <f t="shared" si="0"/>
        <v>41973</v>
      </c>
      <c r="BA2" s="58">
        <f t="shared" si="0"/>
        <v>42004</v>
      </c>
      <c r="BB2" s="58">
        <f t="shared" si="0"/>
        <v>42035</v>
      </c>
      <c r="BC2" s="58">
        <f t="shared" si="0"/>
        <v>42063</v>
      </c>
      <c r="BD2" s="58">
        <f t="shared" si="0"/>
        <v>42094</v>
      </c>
      <c r="BE2" s="58">
        <f t="shared" si="0"/>
        <v>42124</v>
      </c>
      <c r="BF2" s="58">
        <f t="shared" si="0"/>
        <v>42155</v>
      </c>
      <c r="BG2" s="58">
        <f t="shared" si="0"/>
        <v>42185</v>
      </c>
      <c r="BH2" s="58">
        <f t="shared" si="0"/>
        <v>42216</v>
      </c>
      <c r="BI2" s="58">
        <f t="shared" si="0"/>
        <v>42247</v>
      </c>
      <c r="BJ2" s="58">
        <f t="shared" si="0"/>
        <v>42277</v>
      </c>
      <c r="BK2" s="58">
        <f t="shared" si="0"/>
        <v>42308</v>
      </c>
      <c r="BL2" s="58">
        <f t="shared" si="0"/>
        <v>42338</v>
      </c>
      <c r="BM2" s="58">
        <f t="shared" si="0"/>
        <v>42369</v>
      </c>
      <c r="BN2" s="58">
        <f t="shared" si="0"/>
        <v>42400</v>
      </c>
      <c r="BO2" s="58">
        <f t="shared" si="0"/>
        <v>42429</v>
      </c>
      <c r="BP2" s="58">
        <f t="shared" si="0"/>
        <v>42460</v>
      </c>
      <c r="BQ2" s="58">
        <f t="shared" si="0"/>
        <v>42490</v>
      </c>
      <c r="BR2" s="58">
        <f t="shared" ref="BR2:BY2" si="1" xml:space="preserve"> BR$19</f>
        <v>42521</v>
      </c>
      <c r="BS2" s="58">
        <f t="shared" si="1"/>
        <v>42551</v>
      </c>
      <c r="BT2" s="58">
        <f t="shared" si="1"/>
        <v>42582</v>
      </c>
      <c r="BU2" s="58">
        <f t="shared" si="1"/>
        <v>42613</v>
      </c>
      <c r="BV2" s="58">
        <f t="shared" si="1"/>
        <v>42643</v>
      </c>
      <c r="BW2" s="58">
        <f t="shared" si="1"/>
        <v>42674</v>
      </c>
      <c r="BX2" s="58">
        <f t="shared" si="1"/>
        <v>42704</v>
      </c>
      <c r="BY2" s="58">
        <f t="shared" si="1"/>
        <v>42735</v>
      </c>
    </row>
    <row r="3" spans="1:77" s="58" customFormat="1" x14ac:dyDescent="0.2">
      <c r="C3" s="130"/>
      <c r="D3" s="60"/>
      <c r="E3" s="61" t="str">
        <f ca="1" xml:space="preserve"> E$55</f>
        <v>Pre-forecast Vs forecast</v>
      </c>
      <c r="F3" s="133"/>
      <c r="G3" s="132" t="s">
        <v>42</v>
      </c>
      <c r="H3" s="62"/>
      <c r="J3" s="134" t="str">
        <f xml:space="preserve"> J$55</f>
        <v>Pre-forecast</v>
      </c>
      <c r="K3" s="134" t="str">
        <f t="shared" ref="K3:BV3" si="2" xml:space="preserve"> K$55</f>
        <v>Forecast</v>
      </c>
      <c r="L3" s="134" t="str">
        <f t="shared" si="2"/>
        <v>Forecast</v>
      </c>
      <c r="M3" s="134" t="str">
        <f t="shared" si="2"/>
        <v>Forecast</v>
      </c>
      <c r="N3" s="134" t="str">
        <f t="shared" si="2"/>
        <v>Forecast</v>
      </c>
      <c r="O3" s="134" t="str">
        <f t="shared" si="2"/>
        <v>Forecast</v>
      </c>
      <c r="P3" s="134" t="str">
        <f t="shared" si="2"/>
        <v>Forecast</v>
      </c>
      <c r="Q3" s="134" t="str">
        <f t="shared" si="2"/>
        <v>Forecast</v>
      </c>
      <c r="R3" s="134" t="str">
        <f t="shared" si="2"/>
        <v>Forecast</v>
      </c>
      <c r="S3" s="134" t="str">
        <f t="shared" si="2"/>
        <v>Forecast</v>
      </c>
      <c r="T3" s="134" t="str">
        <f t="shared" si="2"/>
        <v>Forecast</v>
      </c>
      <c r="U3" s="134" t="str">
        <f t="shared" si="2"/>
        <v>Forecast</v>
      </c>
      <c r="V3" s="134" t="str">
        <f t="shared" si="2"/>
        <v>Forecast</v>
      </c>
      <c r="W3" s="134" t="str">
        <f t="shared" si="2"/>
        <v>Forecast</v>
      </c>
      <c r="X3" s="134" t="str">
        <f t="shared" si="2"/>
        <v>Forecast</v>
      </c>
      <c r="Y3" s="134" t="str">
        <f t="shared" si="2"/>
        <v>Forecast</v>
      </c>
      <c r="Z3" s="134" t="str">
        <f t="shared" si="2"/>
        <v>Forecast</v>
      </c>
      <c r="AA3" s="134" t="str">
        <f t="shared" si="2"/>
        <v>Forecast</v>
      </c>
      <c r="AB3" s="134" t="str">
        <f t="shared" si="2"/>
        <v>Forecast</v>
      </c>
      <c r="AC3" s="134" t="str">
        <f t="shared" si="2"/>
        <v>Forecast</v>
      </c>
      <c r="AD3" s="134" t="str">
        <f t="shared" si="2"/>
        <v>Forecast</v>
      </c>
      <c r="AE3" s="134" t="str">
        <f t="shared" si="2"/>
        <v>Forecast</v>
      </c>
      <c r="AF3" s="134" t="str">
        <f t="shared" si="2"/>
        <v>Forecast</v>
      </c>
      <c r="AG3" s="134" t="str">
        <f t="shared" si="2"/>
        <v>Forecast</v>
      </c>
      <c r="AH3" s="134" t="str">
        <f t="shared" si="2"/>
        <v>Forecast</v>
      </c>
      <c r="AI3" s="134" t="str">
        <f t="shared" si="2"/>
        <v>Forecast</v>
      </c>
      <c r="AJ3" s="134" t="str">
        <f t="shared" si="2"/>
        <v>Forecast</v>
      </c>
      <c r="AK3" s="134" t="str">
        <f t="shared" si="2"/>
        <v>Forecast</v>
      </c>
      <c r="AL3" s="134" t="str">
        <f t="shared" si="2"/>
        <v>Forecast</v>
      </c>
      <c r="AM3" s="134" t="str">
        <f t="shared" si="2"/>
        <v>Forecast</v>
      </c>
      <c r="AN3" s="134" t="str">
        <f t="shared" si="2"/>
        <v>Forecast</v>
      </c>
      <c r="AO3" s="134" t="str">
        <f t="shared" si="2"/>
        <v>Forecast</v>
      </c>
      <c r="AP3" s="134" t="str">
        <f t="shared" si="2"/>
        <v>Forecast</v>
      </c>
      <c r="AQ3" s="134" t="str">
        <f t="shared" si="2"/>
        <v>Forecast</v>
      </c>
      <c r="AR3" s="134" t="str">
        <f t="shared" si="2"/>
        <v>Forecast</v>
      </c>
      <c r="AS3" s="134" t="str">
        <f t="shared" si="2"/>
        <v>Forecast</v>
      </c>
      <c r="AT3" s="134" t="str">
        <f t="shared" si="2"/>
        <v>Forecast</v>
      </c>
      <c r="AU3" s="134" t="str">
        <f t="shared" si="2"/>
        <v>Forecast</v>
      </c>
      <c r="AV3" s="134" t="str">
        <f t="shared" si="2"/>
        <v>Forecast</v>
      </c>
      <c r="AW3" s="134" t="str">
        <f t="shared" si="2"/>
        <v>Forecast</v>
      </c>
      <c r="AX3" s="134" t="str">
        <f t="shared" si="2"/>
        <v>Forecast</v>
      </c>
      <c r="AY3" s="134" t="str">
        <f t="shared" si="2"/>
        <v>Forecast</v>
      </c>
      <c r="AZ3" s="134" t="str">
        <f t="shared" si="2"/>
        <v>Forecast</v>
      </c>
      <c r="BA3" s="134" t="str">
        <f t="shared" si="2"/>
        <v>Forecast</v>
      </c>
      <c r="BB3" s="134" t="str">
        <f t="shared" si="2"/>
        <v>Forecast</v>
      </c>
      <c r="BC3" s="134" t="str">
        <f t="shared" si="2"/>
        <v>Forecast</v>
      </c>
      <c r="BD3" s="134" t="str">
        <f t="shared" si="2"/>
        <v>Forecast</v>
      </c>
      <c r="BE3" s="134" t="str">
        <f t="shared" si="2"/>
        <v>Forecast</v>
      </c>
      <c r="BF3" s="134" t="str">
        <f t="shared" si="2"/>
        <v>Forecast</v>
      </c>
      <c r="BG3" s="134" t="str">
        <f t="shared" si="2"/>
        <v>Forecast</v>
      </c>
      <c r="BH3" s="134" t="str">
        <f t="shared" si="2"/>
        <v>Forecast</v>
      </c>
      <c r="BI3" s="134" t="str">
        <f t="shared" si="2"/>
        <v>Forecast</v>
      </c>
      <c r="BJ3" s="134" t="str">
        <f t="shared" si="2"/>
        <v>Forecast</v>
      </c>
      <c r="BK3" s="134" t="str">
        <f t="shared" si="2"/>
        <v>Forecast</v>
      </c>
      <c r="BL3" s="134" t="str">
        <f t="shared" si="2"/>
        <v>Forecast</v>
      </c>
      <c r="BM3" s="134" t="str">
        <f t="shared" si="2"/>
        <v>Forecast</v>
      </c>
      <c r="BN3" s="134" t="str">
        <f t="shared" si="2"/>
        <v>Forecast</v>
      </c>
      <c r="BO3" s="134" t="str">
        <f t="shared" si="2"/>
        <v>Forecast</v>
      </c>
      <c r="BP3" s="134" t="str">
        <f t="shared" si="2"/>
        <v>Forecast</v>
      </c>
      <c r="BQ3" s="134" t="str">
        <f t="shared" si="2"/>
        <v>Forecast</v>
      </c>
      <c r="BR3" s="134" t="str">
        <f t="shared" si="2"/>
        <v>Forecast</v>
      </c>
      <c r="BS3" s="134" t="str">
        <f t="shared" si="2"/>
        <v>Post-Frcst</v>
      </c>
      <c r="BT3" s="134" t="str">
        <f t="shared" si="2"/>
        <v>Post-Frcst</v>
      </c>
      <c r="BU3" s="134" t="str">
        <f t="shared" si="2"/>
        <v>Post-Frcst</v>
      </c>
      <c r="BV3" s="134" t="str">
        <f t="shared" si="2"/>
        <v>Post-Frcst</v>
      </c>
      <c r="BW3" s="134" t="str">
        <f xml:space="preserve"> BW$55</f>
        <v>Post-Frcst</v>
      </c>
      <c r="BX3" s="134" t="str">
        <f xml:space="preserve"> BX$55</f>
        <v>Post-Frcst</v>
      </c>
      <c r="BY3" s="134" t="str">
        <f xml:space="preserve"> BY$55</f>
        <v>Post-Frcst</v>
      </c>
    </row>
    <row r="4" spans="1:77" s="73" customFormat="1" x14ac:dyDescent="0.2">
      <c r="A4" s="69"/>
      <c r="B4" s="70"/>
      <c r="C4" s="71"/>
      <c r="D4" s="72"/>
      <c r="E4" s="61" t="str">
        <f xml:space="preserve"> E$25</f>
        <v>Financial year ending</v>
      </c>
      <c r="F4" s="133"/>
      <c r="G4" s="132" t="s">
        <v>43</v>
      </c>
      <c r="J4" s="128">
        <f xml:space="preserve"> J$25</f>
        <v>2011</v>
      </c>
      <c r="K4" s="128">
        <f t="shared" ref="K4:BV4" si="3" xml:space="preserve"> K$25</f>
        <v>2011</v>
      </c>
      <c r="L4" s="128">
        <f t="shared" si="3"/>
        <v>2012</v>
      </c>
      <c r="M4" s="128">
        <f t="shared" si="3"/>
        <v>2012</v>
      </c>
      <c r="N4" s="128">
        <f t="shared" si="3"/>
        <v>2012</v>
      </c>
      <c r="O4" s="128">
        <f t="shared" si="3"/>
        <v>2012</v>
      </c>
      <c r="P4" s="128">
        <f t="shared" si="3"/>
        <v>2012</v>
      </c>
      <c r="Q4" s="128">
        <f t="shared" si="3"/>
        <v>2012</v>
      </c>
      <c r="R4" s="128">
        <f t="shared" si="3"/>
        <v>2012</v>
      </c>
      <c r="S4" s="128">
        <f t="shared" si="3"/>
        <v>2012</v>
      </c>
      <c r="T4" s="128">
        <f t="shared" si="3"/>
        <v>2012</v>
      </c>
      <c r="U4" s="128">
        <f t="shared" si="3"/>
        <v>2012</v>
      </c>
      <c r="V4" s="128">
        <f t="shared" si="3"/>
        <v>2012</v>
      </c>
      <c r="W4" s="128">
        <f t="shared" si="3"/>
        <v>2012</v>
      </c>
      <c r="X4" s="128">
        <f t="shared" si="3"/>
        <v>2013</v>
      </c>
      <c r="Y4" s="128">
        <f t="shared" si="3"/>
        <v>2013</v>
      </c>
      <c r="Z4" s="128">
        <f t="shared" si="3"/>
        <v>2013</v>
      </c>
      <c r="AA4" s="128">
        <f t="shared" si="3"/>
        <v>2013</v>
      </c>
      <c r="AB4" s="128">
        <f t="shared" si="3"/>
        <v>2013</v>
      </c>
      <c r="AC4" s="128">
        <f t="shared" si="3"/>
        <v>2013</v>
      </c>
      <c r="AD4" s="128">
        <f t="shared" si="3"/>
        <v>2013</v>
      </c>
      <c r="AE4" s="128">
        <f t="shared" si="3"/>
        <v>2013</v>
      </c>
      <c r="AF4" s="128">
        <f t="shared" si="3"/>
        <v>2013</v>
      </c>
      <c r="AG4" s="128">
        <f t="shared" si="3"/>
        <v>2013</v>
      </c>
      <c r="AH4" s="128">
        <f t="shared" si="3"/>
        <v>2013</v>
      </c>
      <c r="AI4" s="128">
        <f t="shared" si="3"/>
        <v>2013</v>
      </c>
      <c r="AJ4" s="128">
        <f t="shared" si="3"/>
        <v>2014</v>
      </c>
      <c r="AK4" s="128">
        <f t="shared" si="3"/>
        <v>2014</v>
      </c>
      <c r="AL4" s="128">
        <f t="shared" si="3"/>
        <v>2014</v>
      </c>
      <c r="AM4" s="128">
        <f t="shared" si="3"/>
        <v>2014</v>
      </c>
      <c r="AN4" s="128">
        <f t="shared" si="3"/>
        <v>2014</v>
      </c>
      <c r="AO4" s="128">
        <f t="shared" si="3"/>
        <v>2014</v>
      </c>
      <c r="AP4" s="128">
        <f t="shared" si="3"/>
        <v>2014</v>
      </c>
      <c r="AQ4" s="128">
        <f t="shared" si="3"/>
        <v>2014</v>
      </c>
      <c r="AR4" s="128">
        <f t="shared" si="3"/>
        <v>2014</v>
      </c>
      <c r="AS4" s="128">
        <f t="shared" si="3"/>
        <v>2014</v>
      </c>
      <c r="AT4" s="128">
        <f t="shared" si="3"/>
        <v>2014</v>
      </c>
      <c r="AU4" s="128">
        <f t="shared" si="3"/>
        <v>2014</v>
      </c>
      <c r="AV4" s="128">
        <f t="shared" si="3"/>
        <v>2015</v>
      </c>
      <c r="AW4" s="128">
        <f t="shared" si="3"/>
        <v>2015</v>
      </c>
      <c r="AX4" s="128">
        <f t="shared" si="3"/>
        <v>2015</v>
      </c>
      <c r="AY4" s="128">
        <f t="shared" si="3"/>
        <v>2015</v>
      </c>
      <c r="AZ4" s="128">
        <f t="shared" si="3"/>
        <v>2015</v>
      </c>
      <c r="BA4" s="128">
        <f t="shared" si="3"/>
        <v>2015</v>
      </c>
      <c r="BB4" s="128">
        <f t="shared" si="3"/>
        <v>2015</v>
      </c>
      <c r="BC4" s="128">
        <f t="shared" si="3"/>
        <v>2015</v>
      </c>
      <c r="BD4" s="128">
        <f t="shared" si="3"/>
        <v>2015</v>
      </c>
      <c r="BE4" s="128">
        <f t="shared" si="3"/>
        <v>2015</v>
      </c>
      <c r="BF4" s="128">
        <f t="shared" si="3"/>
        <v>2015</v>
      </c>
      <c r="BG4" s="128">
        <f t="shared" si="3"/>
        <v>2015</v>
      </c>
      <c r="BH4" s="128">
        <f t="shared" si="3"/>
        <v>2016</v>
      </c>
      <c r="BI4" s="128">
        <f t="shared" si="3"/>
        <v>2016</v>
      </c>
      <c r="BJ4" s="128">
        <f t="shared" si="3"/>
        <v>2016</v>
      </c>
      <c r="BK4" s="128">
        <f t="shared" si="3"/>
        <v>2016</v>
      </c>
      <c r="BL4" s="128">
        <f t="shared" si="3"/>
        <v>2016</v>
      </c>
      <c r="BM4" s="128">
        <f t="shared" si="3"/>
        <v>2016</v>
      </c>
      <c r="BN4" s="128">
        <f t="shared" si="3"/>
        <v>2016</v>
      </c>
      <c r="BO4" s="128">
        <f t="shared" si="3"/>
        <v>2016</v>
      </c>
      <c r="BP4" s="128">
        <f t="shared" si="3"/>
        <v>2016</v>
      </c>
      <c r="BQ4" s="128">
        <f t="shared" si="3"/>
        <v>2016</v>
      </c>
      <c r="BR4" s="128">
        <f t="shared" si="3"/>
        <v>2016</v>
      </c>
      <c r="BS4" s="128">
        <f t="shared" si="3"/>
        <v>2016</v>
      </c>
      <c r="BT4" s="128">
        <f t="shared" si="3"/>
        <v>2017</v>
      </c>
      <c r="BU4" s="128">
        <f t="shared" si="3"/>
        <v>2017</v>
      </c>
      <c r="BV4" s="128">
        <f t="shared" si="3"/>
        <v>2017</v>
      </c>
      <c r="BW4" s="128">
        <f xml:space="preserve"> BW$25</f>
        <v>2017</v>
      </c>
      <c r="BX4" s="128">
        <f xml:space="preserve"> BX$25</f>
        <v>2017</v>
      </c>
      <c r="BY4" s="128">
        <f xml:space="preserve"> BY$25</f>
        <v>2017</v>
      </c>
    </row>
    <row r="5" spans="1:77" s="66" customFormat="1" x14ac:dyDescent="0.2">
      <c r="A5" s="63"/>
      <c r="B5" s="63"/>
      <c r="C5" s="64"/>
      <c r="D5" s="65"/>
      <c r="E5" s="61" t="str">
        <f ca="1" xml:space="preserve"> Time!E$9</f>
        <v>Model column counter</v>
      </c>
      <c r="F5" s="87" t="s">
        <v>22</v>
      </c>
      <c r="G5" s="63" t="s">
        <v>23</v>
      </c>
      <c r="H5" s="87" t="s">
        <v>24</v>
      </c>
      <c r="J5" s="66">
        <f ca="1" xml:space="preserve"> Time!J$9</f>
        <v>1</v>
      </c>
      <c r="K5" s="66">
        <f ca="1" xml:space="preserve"> Time!K$9</f>
        <v>2</v>
      </c>
      <c r="L5" s="66">
        <f ca="1" xml:space="preserve"> Time!L$9</f>
        <v>3</v>
      </c>
      <c r="M5" s="66">
        <f ca="1" xml:space="preserve"> Time!M$9</f>
        <v>4</v>
      </c>
      <c r="N5" s="66">
        <f ca="1" xml:space="preserve"> Time!N$9</f>
        <v>5</v>
      </c>
      <c r="O5" s="66">
        <f ca="1" xml:space="preserve"> Time!O$9</f>
        <v>6</v>
      </c>
      <c r="P5" s="66">
        <f ca="1" xml:space="preserve"> Time!P$9</f>
        <v>7</v>
      </c>
      <c r="Q5" s="66">
        <f ca="1" xml:space="preserve"> Time!Q$9</f>
        <v>8</v>
      </c>
      <c r="R5" s="66">
        <f ca="1" xml:space="preserve"> Time!R$9</f>
        <v>9</v>
      </c>
      <c r="S5" s="66">
        <f ca="1" xml:space="preserve"> Time!S$9</f>
        <v>10</v>
      </c>
      <c r="T5" s="66">
        <f ca="1" xml:space="preserve"> Time!T$9</f>
        <v>11</v>
      </c>
      <c r="U5" s="66">
        <f ca="1" xml:space="preserve"> Time!U$9</f>
        <v>12</v>
      </c>
      <c r="V5" s="66">
        <f ca="1" xml:space="preserve"> Time!V$9</f>
        <v>13</v>
      </c>
      <c r="W5" s="66">
        <f ca="1" xml:space="preserve"> Time!W$9</f>
        <v>14</v>
      </c>
      <c r="X5" s="66">
        <f ca="1" xml:space="preserve"> Time!X$9</f>
        <v>15</v>
      </c>
      <c r="Y5" s="66">
        <f ca="1" xml:space="preserve"> Time!Y$9</f>
        <v>16</v>
      </c>
      <c r="Z5" s="66">
        <f ca="1" xml:space="preserve"> Time!Z$9</f>
        <v>17</v>
      </c>
      <c r="AA5" s="66">
        <f ca="1" xml:space="preserve"> Time!AA$9</f>
        <v>18</v>
      </c>
      <c r="AB5" s="66">
        <f ca="1" xml:space="preserve"> Time!AB$9</f>
        <v>19</v>
      </c>
      <c r="AC5" s="66">
        <f ca="1" xml:space="preserve"> Time!AC$9</f>
        <v>20</v>
      </c>
      <c r="AD5" s="66">
        <f ca="1" xml:space="preserve"> Time!AD$9</f>
        <v>21</v>
      </c>
      <c r="AE5" s="66">
        <f ca="1" xml:space="preserve"> Time!AE$9</f>
        <v>22</v>
      </c>
      <c r="AF5" s="66">
        <f ca="1" xml:space="preserve"> Time!AF$9</f>
        <v>23</v>
      </c>
      <c r="AG5" s="66">
        <f ca="1" xml:space="preserve"> Time!AG$9</f>
        <v>24</v>
      </c>
      <c r="AH5" s="66">
        <f ca="1" xml:space="preserve"> Time!AH$9</f>
        <v>25</v>
      </c>
      <c r="AI5" s="66">
        <f ca="1" xml:space="preserve"> Time!AI$9</f>
        <v>26</v>
      </c>
      <c r="AJ5" s="66">
        <f ca="1" xml:space="preserve"> Time!AJ$9</f>
        <v>27</v>
      </c>
      <c r="AK5" s="66">
        <f ca="1" xml:space="preserve"> Time!AK$9</f>
        <v>28</v>
      </c>
      <c r="AL5" s="66">
        <f ca="1" xml:space="preserve"> Time!AL$9</f>
        <v>29</v>
      </c>
      <c r="AM5" s="66">
        <f ca="1" xml:space="preserve"> Time!AM$9</f>
        <v>30</v>
      </c>
      <c r="AN5" s="66">
        <f ca="1" xml:space="preserve"> Time!AN$9</f>
        <v>31</v>
      </c>
      <c r="AO5" s="66">
        <f ca="1" xml:space="preserve"> Time!AO$9</f>
        <v>32</v>
      </c>
      <c r="AP5" s="66">
        <f ca="1" xml:space="preserve"> Time!AP$9</f>
        <v>33</v>
      </c>
      <c r="AQ5" s="66">
        <f ca="1" xml:space="preserve"> Time!AQ$9</f>
        <v>34</v>
      </c>
      <c r="AR5" s="66">
        <f ca="1" xml:space="preserve"> Time!AR$9</f>
        <v>35</v>
      </c>
      <c r="AS5" s="66">
        <f ca="1" xml:space="preserve"> Time!AS$9</f>
        <v>36</v>
      </c>
      <c r="AT5" s="66">
        <f ca="1" xml:space="preserve"> Time!AT$9</f>
        <v>37</v>
      </c>
      <c r="AU5" s="66">
        <f ca="1" xml:space="preserve"> Time!AU$9</f>
        <v>38</v>
      </c>
      <c r="AV5" s="66">
        <f ca="1" xml:space="preserve"> Time!AV$9</f>
        <v>39</v>
      </c>
      <c r="AW5" s="66">
        <f ca="1" xml:space="preserve"> Time!AW$9</f>
        <v>40</v>
      </c>
      <c r="AX5" s="66">
        <f ca="1" xml:space="preserve"> Time!AX$9</f>
        <v>41</v>
      </c>
      <c r="AY5" s="66">
        <f ca="1" xml:space="preserve"> Time!AY$9</f>
        <v>42</v>
      </c>
      <c r="AZ5" s="66">
        <f ca="1" xml:space="preserve"> Time!AZ$9</f>
        <v>43</v>
      </c>
      <c r="BA5" s="66">
        <f ca="1" xml:space="preserve"> Time!BA$9</f>
        <v>44</v>
      </c>
      <c r="BB5" s="66">
        <f ca="1" xml:space="preserve"> Time!BB$9</f>
        <v>45</v>
      </c>
      <c r="BC5" s="66">
        <f ca="1" xml:space="preserve"> Time!BC$9</f>
        <v>46</v>
      </c>
      <c r="BD5" s="66">
        <f ca="1" xml:space="preserve"> Time!BD$9</f>
        <v>47</v>
      </c>
      <c r="BE5" s="66">
        <f ca="1" xml:space="preserve"> Time!BE$9</f>
        <v>48</v>
      </c>
      <c r="BF5" s="66">
        <f ca="1" xml:space="preserve"> Time!BF$9</f>
        <v>49</v>
      </c>
      <c r="BG5" s="66">
        <f ca="1" xml:space="preserve"> Time!BG$9</f>
        <v>50</v>
      </c>
      <c r="BH5" s="66">
        <f ca="1" xml:space="preserve"> Time!BH$9</f>
        <v>51</v>
      </c>
      <c r="BI5" s="66">
        <f ca="1" xml:space="preserve"> Time!BI$9</f>
        <v>52</v>
      </c>
      <c r="BJ5" s="66">
        <f ca="1" xml:space="preserve"> Time!BJ$9</f>
        <v>53</v>
      </c>
      <c r="BK5" s="66">
        <f ca="1" xml:space="preserve"> Time!BK$9</f>
        <v>54</v>
      </c>
      <c r="BL5" s="66">
        <f ca="1" xml:space="preserve"> Time!BL$9</f>
        <v>55</v>
      </c>
      <c r="BM5" s="66">
        <f ca="1" xml:space="preserve"> Time!BM$9</f>
        <v>56</v>
      </c>
      <c r="BN5" s="66">
        <f ca="1" xml:space="preserve"> Time!BN$9</f>
        <v>57</v>
      </c>
      <c r="BO5" s="66">
        <f ca="1" xml:space="preserve"> Time!BO$9</f>
        <v>58</v>
      </c>
      <c r="BP5" s="66">
        <f ca="1" xml:space="preserve"> Time!BP$9</f>
        <v>59</v>
      </c>
      <c r="BQ5" s="66">
        <f ca="1" xml:space="preserve"> Time!BQ$9</f>
        <v>60</v>
      </c>
      <c r="BR5" s="66">
        <f ca="1" xml:space="preserve"> Time!BR$9</f>
        <v>61</v>
      </c>
      <c r="BS5" s="66">
        <f ca="1" xml:space="preserve"> Time!BS$9</f>
        <v>62</v>
      </c>
      <c r="BT5" s="66">
        <f ca="1" xml:space="preserve"> Time!BT$9</f>
        <v>63</v>
      </c>
      <c r="BU5" s="66">
        <f ca="1" xml:space="preserve"> Time!BU$9</f>
        <v>64</v>
      </c>
      <c r="BV5" s="66">
        <f ca="1" xml:space="preserve"> Time!BV$9</f>
        <v>65</v>
      </c>
      <c r="BW5" s="66">
        <f ca="1" xml:space="preserve"> Time!BW$9</f>
        <v>66</v>
      </c>
      <c r="BX5" s="66">
        <f ca="1" xml:space="preserve"> Time!BX$9</f>
        <v>67</v>
      </c>
      <c r="BY5" s="66">
        <f ca="1" xml:space="preserve"> Time!BY$9</f>
        <v>68</v>
      </c>
    </row>
    <row r="7" spans="1:77" s="15" customFormat="1" x14ac:dyDescent="0.2">
      <c r="A7" s="63" t="s">
        <v>12</v>
      </c>
      <c r="B7" s="9"/>
      <c r="C7" s="10"/>
      <c r="D7" s="14"/>
      <c r="G7" s="16"/>
    </row>
    <row r="8" spans="1:77" s="15" customFormat="1" x14ac:dyDescent="0.2">
      <c r="A8" s="63"/>
      <c r="B8" s="9"/>
      <c r="C8" s="10"/>
      <c r="D8" s="14"/>
      <c r="G8" s="16"/>
    </row>
    <row r="9" spans="1:77" s="94" customFormat="1" x14ac:dyDescent="0.2">
      <c r="A9" s="91"/>
      <c r="B9" s="92"/>
      <c r="C9" s="93"/>
      <c r="E9" s="94" t="s">
        <v>2</v>
      </c>
      <c r="G9" s="94" t="s">
        <v>21</v>
      </c>
      <c r="I9" s="95"/>
      <c r="J9" s="94">
        <f t="shared" ref="J9:BU9" si="4" xml:space="preserve"> I9 + 1</f>
        <v>1</v>
      </c>
      <c r="K9" s="94">
        <f t="shared" si="4"/>
        <v>2</v>
      </c>
      <c r="L9" s="94">
        <f t="shared" si="4"/>
        <v>3</v>
      </c>
      <c r="M9" s="94">
        <f t="shared" si="4"/>
        <v>4</v>
      </c>
      <c r="N9" s="94">
        <f t="shared" si="4"/>
        <v>5</v>
      </c>
      <c r="O9" s="94">
        <f t="shared" si="4"/>
        <v>6</v>
      </c>
      <c r="P9" s="94">
        <f t="shared" si="4"/>
        <v>7</v>
      </c>
      <c r="Q9" s="94">
        <f t="shared" si="4"/>
        <v>8</v>
      </c>
      <c r="R9" s="94">
        <f t="shared" si="4"/>
        <v>9</v>
      </c>
      <c r="S9" s="94">
        <f t="shared" si="4"/>
        <v>10</v>
      </c>
      <c r="T9" s="94">
        <f t="shared" si="4"/>
        <v>11</v>
      </c>
      <c r="U9" s="94">
        <f t="shared" si="4"/>
        <v>12</v>
      </c>
      <c r="V9" s="94">
        <f t="shared" si="4"/>
        <v>13</v>
      </c>
      <c r="W9" s="94">
        <f t="shared" si="4"/>
        <v>14</v>
      </c>
      <c r="X9" s="94">
        <f t="shared" si="4"/>
        <v>15</v>
      </c>
      <c r="Y9" s="94">
        <f t="shared" si="4"/>
        <v>16</v>
      </c>
      <c r="Z9" s="94">
        <f t="shared" si="4"/>
        <v>17</v>
      </c>
      <c r="AA9" s="94">
        <f t="shared" si="4"/>
        <v>18</v>
      </c>
      <c r="AB9" s="94">
        <f t="shared" si="4"/>
        <v>19</v>
      </c>
      <c r="AC9" s="94">
        <f t="shared" si="4"/>
        <v>20</v>
      </c>
      <c r="AD9" s="94">
        <f t="shared" si="4"/>
        <v>21</v>
      </c>
      <c r="AE9" s="94">
        <f t="shared" si="4"/>
        <v>22</v>
      </c>
      <c r="AF9" s="94">
        <f t="shared" si="4"/>
        <v>23</v>
      </c>
      <c r="AG9" s="94">
        <f t="shared" si="4"/>
        <v>24</v>
      </c>
      <c r="AH9" s="94">
        <f t="shared" si="4"/>
        <v>25</v>
      </c>
      <c r="AI9" s="94">
        <f t="shared" si="4"/>
        <v>26</v>
      </c>
      <c r="AJ9" s="94">
        <f t="shared" si="4"/>
        <v>27</v>
      </c>
      <c r="AK9" s="94">
        <f t="shared" si="4"/>
        <v>28</v>
      </c>
      <c r="AL9" s="94">
        <f t="shared" si="4"/>
        <v>29</v>
      </c>
      <c r="AM9" s="94">
        <f t="shared" si="4"/>
        <v>30</v>
      </c>
      <c r="AN9" s="94">
        <f t="shared" si="4"/>
        <v>31</v>
      </c>
      <c r="AO9" s="94">
        <f t="shared" si="4"/>
        <v>32</v>
      </c>
      <c r="AP9" s="94">
        <f t="shared" si="4"/>
        <v>33</v>
      </c>
      <c r="AQ9" s="94">
        <f t="shared" si="4"/>
        <v>34</v>
      </c>
      <c r="AR9" s="94">
        <f t="shared" si="4"/>
        <v>35</v>
      </c>
      <c r="AS9" s="94">
        <f t="shared" si="4"/>
        <v>36</v>
      </c>
      <c r="AT9" s="94">
        <f t="shared" si="4"/>
        <v>37</v>
      </c>
      <c r="AU9" s="94">
        <f t="shared" si="4"/>
        <v>38</v>
      </c>
      <c r="AV9" s="94">
        <f t="shared" si="4"/>
        <v>39</v>
      </c>
      <c r="AW9" s="94">
        <f t="shared" si="4"/>
        <v>40</v>
      </c>
      <c r="AX9" s="94">
        <f t="shared" si="4"/>
        <v>41</v>
      </c>
      <c r="AY9" s="94">
        <f t="shared" si="4"/>
        <v>42</v>
      </c>
      <c r="AZ9" s="94">
        <f t="shared" si="4"/>
        <v>43</v>
      </c>
      <c r="BA9" s="94">
        <f t="shared" si="4"/>
        <v>44</v>
      </c>
      <c r="BB9" s="94">
        <f t="shared" si="4"/>
        <v>45</v>
      </c>
      <c r="BC9" s="94">
        <f t="shared" si="4"/>
        <v>46</v>
      </c>
      <c r="BD9" s="94">
        <f t="shared" si="4"/>
        <v>47</v>
      </c>
      <c r="BE9" s="94">
        <f t="shared" si="4"/>
        <v>48</v>
      </c>
      <c r="BF9" s="94">
        <f t="shared" si="4"/>
        <v>49</v>
      </c>
      <c r="BG9" s="94">
        <f t="shared" si="4"/>
        <v>50</v>
      </c>
      <c r="BH9" s="94">
        <f t="shared" si="4"/>
        <v>51</v>
      </c>
      <c r="BI9" s="94">
        <f t="shared" si="4"/>
        <v>52</v>
      </c>
      <c r="BJ9" s="94">
        <f t="shared" si="4"/>
        <v>53</v>
      </c>
      <c r="BK9" s="94">
        <f t="shared" si="4"/>
        <v>54</v>
      </c>
      <c r="BL9" s="94">
        <f t="shared" si="4"/>
        <v>55</v>
      </c>
      <c r="BM9" s="94">
        <f t="shared" si="4"/>
        <v>56</v>
      </c>
      <c r="BN9" s="94">
        <f t="shared" si="4"/>
        <v>57</v>
      </c>
      <c r="BO9" s="94">
        <f t="shared" si="4"/>
        <v>58</v>
      </c>
      <c r="BP9" s="94">
        <f t="shared" si="4"/>
        <v>59</v>
      </c>
      <c r="BQ9" s="94">
        <f t="shared" si="4"/>
        <v>60</v>
      </c>
      <c r="BR9" s="94">
        <f t="shared" si="4"/>
        <v>61</v>
      </c>
      <c r="BS9" s="94">
        <f t="shared" si="4"/>
        <v>62</v>
      </c>
      <c r="BT9" s="94">
        <f t="shared" si="4"/>
        <v>63</v>
      </c>
      <c r="BU9" s="94">
        <f t="shared" si="4"/>
        <v>64</v>
      </c>
      <c r="BV9" s="94">
        <f xml:space="preserve"> BU9 + 1</f>
        <v>65</v>
      </c>
      <c r="BW9" s="94">
        <f xml:space="preserve"> BV9 + 1</f>
        <v>66</v>
      </c>
      <c r="BX9" s="94">
        <f xml:space="preserve"> BW9 + 1</f>
        <v>67</v>
      </c>
      <c r="BY9" s="94">
        <f xml:space="preserve"> BX9 + 1</f>
        <v>68</v>
      </c>
    </row>
    <row r="10" spans="1:77" s="8" customFormat="1" x14ac:dyDescent="0.2">
      <c r="A10" s="5"/>
      <c r="B10" s="11"/>
      <c r="C10" s="6"/>
      <c r="D10" s="7"/>
      <c r="E10" s="8" t="s">
        <v>3</v>
      </c>
      <c r="G10" s="8" t="s">
        <v>16</v>
      </c>
      <c r="H10" s="8">
        <f>SUM(J10:BY10)</f>
        <v>1</v>
      </c>
      <c r="J10" s="8">
        <f xml:space="preserve"> IF(J9 = 1, 1, 0)</f>
        <v>1</v>
      </c>
      <c r="K10" s="8">
        <f t="shared" ref="K10:BV10" si="5" xml:space="preserve"> IF(K9 = 1, 1, 0)</f>
        <v>0</v>
      </c>
      <c r="L10" s="8">
        <f t="shared" si="5"/>
        <v>0</v>
      </c>
      <c r="M10" s="8">
        <f t="shared" si="5"/>
        <v>0</v>
      </c>
      <c r="N10" s="8">
        <f t="shared" si="5"/>
        <v>0</v>
      </c>
      <c r="O10" s="8">
        <f t="shared" si="5"/>
        <v>0</v>
      </c>
      <c r="P10" s="8">
        <f t="shared" si="5"/>
        <v>0</v>
      </c>
      <c r="Q10" s="8">
        <f t="shared" si="5"/>
        <v>0</v>
      </c>
      <c r="R10" s="8">
        <f t="shared" si="5"/>
        <v>0</v>
      </c>
      <c r="S10" s="8">
        <f t="shared" si="5"/>
        <v>0</v>
      </c>
      <c r="T10" s="8">
        <f t="shared" si="5"/>
        <v>0</v>
      </c>
      <c r="U10" s="8">
        <f t="shared" si="5"/>
        <v>0</v>
      </c>
      <c r="V10" s="8">
        <f t="shared" si="5"/>
        <v>0</v>
      </c>
      <c r="W10" s="8">
        <f t="shared" si="5"/>
        <v>0</v>
      </c>
      <c r="X10" s="8">
        <f t="shared" si="5"/>
        <v>0</v>
      </c>
      <c r="Y10" s="8">
        <f t="shared" si="5"/>
        <v>0</v>
      </c>
      <c r="Z10" s="8">
        <f t="shared" si="5"/>
        <v>0</v>
      </c>
      <c r="AA10" s="8">
        <f t="shared" si="5"/>
        <v>0</v>
      </c>
      <c r="AB10" s="8">
        <f t="shared" si="5"/>
        <v>0</v>
      </c>
      <c r="AC10" s="8">
        <f t="shared" si="5"/>
        <v>0</v>
      </c>
      <c r="AD10" s="8">
        <f t="shared" si="5"/>
        <v>0</v>
      </c>
      <c r="AE10" s="8">
        <f t="shared" si="5"/>
        <v>0</v>
      </c>
      <c r="AF10" s="8">
        <f t="shared" si="5"/>
        <v>0</v>
      </c>
      <c r="AG10" s="8">
        <f t="shared" si="5"/>
        <v>0</v>
      </c>
      <c r="AH10" s="8">
        <f t="shared" si="5"/>
        <v>0</v>
      </c>
      <c r="AI10" s="8">
        <f t="shared" si="5"/>
        <v>0</v>
      </c>
      <c r="AJ10" s="8">
        <f t="shared" si="5"/>
        <v>0</v>
      </c>
      <c r="AK10" s="8">
        <f t="shared" si="5"/>
        <v>0</v>
      </c>
      <c r="AL10" s="8">
        <f t="shared" si="5"/>
        <v>0</v>
      </c>
      <c r="AM10" s="8">
        <f t="shared" si="5"/>
        <v>0</v>
      </c>
      <c r="AN10" s="8">
        <f t="shared" si="5"/>
        <v>0</v>
      </c>
      <c r="AO10" s="8">
        <f t="shared" si="5"/>
        <v>0</v>
      </c>
      <c r="AP10" s="8">
        <f t="shared" si="5"/>
        <v>0</v>
      </c>
      <c r="AQ10" s="8">
        <f t="shared" si="5"/>
        <v>0</v>
      </c>
      <c r="AR10" s="8">
        <f t="shared" si="5"/>
        <v>0</v>
      </c>
      <c r="AS10" s="8">
        <f t="shared" si="5"/>
        <v>0</v>
      </c>
      <c r="AT10" s="8">
        <f t="shared" si="5"/>
        <v>0</v>
      </c>
      <c r="AU10" s="8">
        <f t="shared" si="5"/>
        <v>0</v>
      </c>
      <c r="AV10" s="8">
        <f t="shared" si="5"/>
        <v>0</v>
      </c>
      <c r="AW10" s="8">
        <f t="shared" si="5"/>
        <v>0</v>
      </c>
      <c r="AX10" s="8">
        <f t="shared" si="5"/>
        <v>0</v>
      </c>
      <c r="AY10" s="8">
        <f t="shared" si="5"/>
        <v>0</v>
      </c>
      <c r="AZ10" s="8">
        <f t="shared" si="5"/>
        <v>0</v>
      </c>
      <c r="BA10" s="8">
        <f t="shared" si="5"/>
        <v>0</v>
      </c>
      <c r="BB10" s="8">
        <f t="shared" si="5"/>
        <v>0</v>
      </c>
      <c r="BC10" s="8">
        <f t="shared" si="5"/>
        <v>0</v>
      </c>
      <c r="BD10" s="8">
        <f t="shared" si="5"/>
        <v>0</v>
      </c>
      <c r="BE10" s="8">
        <f t="shared" si="5"/>
        <v>0</v>
      </c>
      <c r="BF10" s="8">
        <f t="shared" si="5"/>
        <v>0</v>
      </c>
      <c r="BG10" s="8">
        <f t="shared" si="5"/>
        <v>0</v>
      </c>
      <c r="BH10" s="8">
        <f t="shared" si="5"/>
        <v>0</v>
      </c>
      <c r="BI10" s="8">
        <f t="shared" si="5"/>
        <v>0</v>
      </c>
      <c r="BJ10" s="8">
        <f t="shared" si="5"/>
        <v>0</v>
      </c>
      <c r="BK10" s="8">
        <f t="shared" si="5"/>
        <v>0</v>
      </c>
      <c r="BL10" s="8">
        <f t="shared" si="5"/>
        <v>0</v>
      </c>
      <c r="BM10" s="8">
        <f t="shared" si="5"/>
        <v>0</v>
      </c>
      <c r="BN10" s="8">
        <f t="shared" si="5"/>
        <v>0</v>
      </c>
      <c r="BO10" s="8">
        <f t="shared" si="5"/>
        <v>0</v>
      </c>
      <c r="BP10" s="8">
        <f t="shared" si="5"/>
        <v>0</v>
      </c>
      <c r="BQ10" s="8">
        <f t="shared" si="5"/>
        <v>0</v>
      </c>
      <c r="BR10" s="8">
        <f t="shared" si="5"/>
        <v>0</v>
      </c>
      <c r="BS10" s="8">
        <f t="shared" si="5"/>
        <v>0</v>
      </c>
      <c r="BT10" s="8">
        <f t="shared" si="5"/>
        <v>0</v>
      </c>
      <c r="BU10" s="8">
        <f t="shared" si="5"/>
        <v>0</v>
      </c>
      <c r="BV10" s="8">
        <f t="shared" si="5"/>
        <v>0</v>
      </c>
      <c r="BW10" s="8">
        <f xml:space="preserve"> IF(BW9 = 1, 1, 0)</f>
        <v>0</v>
      </c>
      <c r="BX10" s="8">
        <f xml:space="preserve"> IF(BX9 = 1, 1, 0)</f>
        <v>0</v>
      </c>
      <c r="BY10" s="8">
        <f xml:space="preserve"> IF(BY9 = 1, 1, 0)</f>
        <v>0</v>
      </c>
    </row>
    <row r="11" spans="1:77" s="8" customFormat="1" x14ac:dyDescent="0.2">
      <c r="A11" s="5"/>
      <c r="B11" s="11"/>
      <c r="C11" s="6"/>
      <c r="D11" s="7"/>
    </row>
    <row r="12" spans="1:77" s="107" customFormat="1" x14ac:dyDescent="0.2">
      <c r="A12" s="103"/>
      <c r="B12" s="104"/>
      <c r="C12" s="105"/>
      <c r="D12" s="106"/>
      <c r="E12" s="107" t="str">
        <f xml:space="preserve"> InpC!E$9</f>
        <v>1st model column start date</v>
      </c>
      <c r="F12" s="107">
        <f xml:space="preserve"> InpC!F$9</f>
        <v>40664</v>
      </c>
      <c r="G12" s="107" t="str">
        <f xml:space="preserve"> InpC!G$9</f>
        <v>date</v>
      </c>
      <c r="I12" s="108"/>
    </row>
    <row r="13" spans="1:77" s="109" customFormat="1" x14ac:dyDescent="0.2">
      <c r="E13" s="109" t="str">
        <f xml:space="preserve"> InpC!E$11</f>
        <v>Months per model period</v>
      </c>
      <c r="F13" s="109">
        <f xml:space="preserve"> InpC!F$11</f>
        <v>1</v>
      </c>
      <c r="G13" s="109" t="str">
        <f xml:space="preserve"> InpC!G$11</f>
        <v>months</v>
      </c>
    </row>
    <row r="14" spans="1:77" s="8" customFormat="1" x14ac:dyDescent="0.2">
      <c r="A14" s="5"/>
      <c r="B14" s="11"/>
      <c r="C14" s="6"/>
      <c r="D14" s="7"/>
      <c r="E14" s="8" t="str">
        <f t="shared" ref="E14:AJ14" si="6" xml:space="preserve"> E$10</f>
        <v>First model column flag</v>
      </c>
      <c r="F14" s="8">
        <f t="shared" si="6"/>
        <v>0</v>
      </c>
      <c r="G14" s="8" t="str">
        <f t="shared" si="6"/>
        <v>flag</v>
      </c>
      <c r="H14" s="8">
        <f t="shared" si="6"/>
        <v>1</v>
      </c>
      <c r="I14" s="8">
        <f t="shared" si="6"/>
        <v>0</v>
      </c>
      <c r="J14" s="8">
        <f t="shared" si="6"/>
        <v>1</v>
      </c>
      <c r="K14" s="8">
        <f t="shared" si="6"/>
        <v>0</v>
      </c>
      <c r="L14" s="8">
        <f t="shared" si="6"/>
        <v>0</v>
      </c>
      <c r="M14" s="8">
        <f t="shared" si="6"/>
        <v>0</v>
      </c>
      <c r="N14" s="8">
        <f t="shared" si="6"/>
        <v>0</v>
      </c>
      <c r="O14" s="8">
        <f t="shared" si="6"/>
        <v>0</v>
      </c>
      <c r="P14" s="8">
        <f t="shared" si="6"/>
        <v>0</v>
      </c>
      <c r="Q14" s="8">
        <f t="shared" si="6"/>
        <v>0</v>
      </c>
      <c r="R14" s="8">
        <f t="shared" si="6"/>
        <v>0</v>
      </c>
      <c r="S14" s="8">
        <f t="shared" si="6"/>
        <v>0</v>
      </c>
      <c r="T14" s="8">
        <f t="shared" si="6"/>
        <v>0</v>
      </c>
      <c r="U14" s="8">
        <f t="shared" si="6"/>
        <v>0</v>
      </c>
      <c r="V14" s="8">
        <f t="shared" si="6"/>
        <v>0</v>
      </c>
      <c r="W14" s="8">
        <f t="shared" si="6"/>
        <v>0</v>
      </c>
      <c r="X14" s="8">
        <f t="shared" si="6"/>
        <v>0</v>
      </c>
      <c r="Y14" s="8">
        <f t="shared" si="6"/>
        <v>0</v>
      </c>
      <c r="Z14" s="8">
        <f t="shared" si="6"/>
        <v>0</v>
      </c>
      <c r="AA14" s="8">
        <f t="shared" si="6"/>
        <v>0</v>
      </c>
      <c r="AB14" s="8">
        <f t="shared" si="6"/>
        <v>0</v>
      </c>
      <c r="AC14" s="8">
        <f t="shared" si="6"/>
        <v>0</v>
      </c>
      <c r="AD14" s="8">
        <f t="shared" si="6"/>
        <v>0</v>
      </c>
      <c r="AE14" s="8">
        <f t="shared" si="6"/>
        <v>0</v>
      </c>
      <c r="AF14" s="8">
        <f t="shared" si="6"/>
        <v>0</v>
      </c>
      <c r="AG14" s="8">
        <f t="shared" si="6"/>
        <v>0</v>
      </c>
      <c r="AH14" s="8">
        <f t="shared" si="6"/>
        <v>0</v>
      </c>
      <c r="AI14" s="8">
        <f t="shared" si="6"/>
        <v>0</v>
      </c>
      <c r="AJ14" s="8">
        <f t="shared" si="6"/>
        <v>0</v>
      </c>
      <c r="AK14" s="8">
        <f t="shared" ref="AK14:BP14" si="7" xml:space="preserve"> AK$10</f>
        <v>0</v>
      </c>
      <c r="AL14" s="8">
        <f t="shared" si="7"/>
        <v>0</v>
      </c>
      <c r="AM14" s="8">
        <f t="shared" si="7"/>
        <v>0</v>
      </c>
      <c r="AN14" s="8">
        <f t="shared" si="7"/>
        <v>0</v>
      </c>
      <c r="AO14" s="8">
        <f t="shared" si="7"/>
        <v>0</v>
      </c>
      <c r="AP14" s="8">
        <f t="shared" si="7"/>
        <v>0</v>
      </c>
      <c r="AQ14" s="8">
        <f t="shared" si="7"/>
        <v>0</v>
      </c>
      <c r="AR14" s="8">
        <f t="shared" si="7"/>
        <v>0</v>
      </c>
      <c r="AS14" s="8">
        <f t="shared" si="7"/>
        <v>0</v>
      </c>
      <c r="AT14" s="8">
        <f t="shared" si="7"/>
        <v>0</v>
      </c>
      <c r="AU14" s="8">
        <f t="shared" si="7"/>
        <v>0</v>
      </c>
      <c r="AV14" s="8">
        <f t="shared" si="7"/>
        <v>0</v>
      </c>
      <c r="AW14" s="8">
        <f t="shared" si="7"/>
        <v>0</v>
      </c>
      <c r="AX14" s="8">
        <f t="shared" si="7"/>
        <v>0</v>
      </c>
      <c r="AY14" s="8">
        <f t="shared" si="7"/>
        <v>0</v>
      </c>
      <c r="AZ14" s="8">
        <f t="shared" si="7"/>
        <v>0</v>
      </c>
      <c r="BA14" s="8">
        <f t="shared" si="7"/>
        <v>0</v>
      </c>
      <c r="BB14" s="8">
        <f t="shared" si="7"/>
        <v>0</v>
      </c>
      <c r="BC14" s="8">
        <f t="shared" si="7"/>
        <v>0</v>
      </c>
      <c r="BD14" s="8">
        <f t="shared" si="7"/>
        <v>0</v>
      </c>
      <c r="BE14" s="8">
        <f t="shared" si="7"/>
        <v>0</v>
      </c>
      <c r="BF14" s="8">
        <f t="shared" si="7"/>
        <v>0</v>
      </c>
      <c r="BG14" s="8">
        <f t="shared" si="7"/>
        <v>0</v>
      </c>
      <c r="BH14" s="8">
        <f t="shared" si="7"/>
        <v>0</v>
      </c>
      <c r="BI14" s="8">
        <f t="shared" si="7"/>
        <v>0</v>
      </c>
      <c r="BJ14" s="8">
        <f t="shared" si="7"/>
        <v>0</v>
      </c>
      <c r="BK14" s="8">
        <f t="shared" si="7"/>
        <v>0</v>
      </c>
      <c r="BL14" s="8">
        <f t="shared" si="7"/>
        <v>0</v>
      </c>
      <c r="BM14" s="8">
        <f t="shared" si="7"/>
        <v>0</v>
      </c>
      <c r="BN14" s="8">
        <f t="shared" si="7"/>
        <v>0</v>
      </c>
      <c r="BO14" s="8">
        <f t="shared" si="7"/>
        <v>0</v>
      </c>
      <c r="BP14" s="8">
        <f t="shared" si="7"/>
        <v>0</v>
      </c>
      <c r="BQ14" s="8">
        <f t="shared" ref="BQ14:BY14" si="8" xml:space="preserve"> BQ$10</f>
        <v>0</v>
      </c>
      <c r="BR14" s="8">
        <f t="shared" si="8"/>
        <v>0</v>
      </c>
      <c r="BS14" s="8">
        <f t="shared" si="8"/>
        <v>0</v>
      </c>
      <c r="BT14" s="8">
        <f t="shared" si="8"/>
        <v>0</v>
      </c>
      <c r="BU14" s="8">
        <f t="shared" si="8"/>
        <v>0</v>
      </c>
      <c r="BV14" s="8">
        <f t="shared" si="8"/>
        <v>0</v>
      </c>
      <c r="BW14" s="8">
        <f t="shared" si="8"/>
        <v>0</v>
      </c>
      <c r="BX14" s="8">
        <f t="shared" si="8"/>
        <v>0</v>
      </c>
      <c r="BY14" s="8">
        <f t="shared" si="8"/>
        <v>0</v>
      </c>
    </row>
    <row r="15" spans="1:77" s="90" customFormat="1" x14ac:dyDescent="0.2">
      <c r="A15" s="22"/>
      <c r="B15" s="22"/>
      <c r="C15" s="37"/>
      <c r="D15" s="89"/>
      <c r="E15" s="90" t="s">
        <v>39</v>
      </c>
      <c r="G15" s="90" t="s">
        <v>17</v>
      </c>
      <c r="I15" s="96"/>
      <c r="J15" s="90">
        <f xml:space="preserve"> IF(J14 = 1, $F12, DATE(YEAR(I15), MONTH(I15) + $F13, DAY(1)))</f>
        <v>40664</v>
      </c>
      <c r="K15" s="90">
        <f t="shared" ref="K15:BV15" si="9" xml:space="preserve"> IF(K14 = 1, $F12, DATE(YEAR(J15), MONTH(J15) + $F13, DAY(1)))</f>
        <v>40695</v>
      </c>
      <c r="L15" s="90">
        <f t="shared" si="9"/>
        <v>40725</v>
      </c>
      <c r="M15" s="90">
        <f t="shared" si="9"/>
        <v>40756</v>
      </c>
      <c r="N15" s="90">
        <f t="shared" si="9"/>
        <v>40787</v>
      </c>
      <c r="O15" s="90">
        <f t="shared" si="9"/>
        <v>40817</v>
      </c>
      <c r="P15" s="90">
        <f t="shared" si="9"/>
        <v>40848</v>
      </c>
      <c r="Q15" s="90">
        <f t="shared" si="9"/>
        <v>40878</v>
      </c>
      <c r="R15" s="90">
        <f t="shared" si="9"/>
        <v>40909</v>
      </c>
      <c r="S15" s="90">
        <f t="shared" si="9"/>
        <v>40940</v>
      </c>
      <c r="T15" s="90">
        <f t="shared" si="9"/>
        <v>40969</v>
      </c>
      <c r="U15" s="90">
        <f t="shared" si="9"/>
        <v>41000</v>
      </c>
      <c r="V15" s="90">
        <f t="shared" si="9"/>
        <v>41030</v>
      </c>
      <c r="W15" s="90">
        <f t="shared" si="9"/>
        <v>41061</v>
      </c>
      <c r="X15" s="90">
        <f t="shared" si="9"/>
        <v>41091</v>
      </c>
      <c r="Y15" s="90">
        <f t="shared" si="9"/>
        <v>41122</v>
      </c>
      <c r="Z15" s="90">
        <f t="shared" si="9"/>
        <v>41153</v>
      </c>
      <c r="AA15" s="90">
        <f t="shared" si="9"/>
        <v>41183</v>
      </c>
      <c r="AB15" s="90">
        <f t="shared" si="9"/>
        <v>41214</v>
      </c>
      <c r="AC15" s="90">
        <f t="shared" si="9"/>
        <v>41244</v>
      </c>
      <c r="AD15" s="90">
        <f t="shared" si="9"/>
        <v>41275</v>
      </c>
      <c r="AE15" s="90">
        <f t="shared" si="9"/>
        <v>41306</v>
      </c>
      <c r="AF15" s="90">
        <f t="shared" si="9"/>
        <v>41334</v>
      </c>
      <c r="AG15" s="90">
        <f t="shared" si="9"/>
        <v>41365</v>
      </c>
      <c r="AH15" s="90">
        <f t="shared" si="9"/>
        <v>41395</v>
      </c>
      <c r="AI15" s="90">
        <f t="shared" si="9"/>
        <v>41426</v>
      </c>
      <c r="AJ15" s="90">
        <f t="shared" si="9"/>
        <v>41456</v>
      </c>
      <c r="AK15" s="90">
        <f t="shared" si="9"/>
        <v>41487</v>
      </c>
      <c r="AL15" s="90">
        <f t="shared" si="9"/>
        <v>41518</v>
      </c>
      <c r="AM15" s="90">
        <f t="shared" si="9"/>
        <v>41548</v>
      </c>
      <c r="AN15" s="90">
        <f t="shared" si="9"/>
        <v>41579</v>
      </c>
      <c r="AO15" s="90">
        <f t="shared" si="9"/>
        <v>41609</v>
      </c>
      <c r="AP15" s="90">
        <f t="shared" si="9"/>
        <v>41640</v>
      </c>
      <c r="AQ15" s="90">
        <f t="shared" si="9"/>
        <v>41671</v>
      </c>
      <c r="AR15" s="90">
        <f t="shared" si="9"/>
        <v>41699</v>
      </c>
      <c r="AS15" s="90">
        <f t="shared" si="9"/>
        <v>41730</v>
      </c>
      <c r="AT15" s="90">
        <f t="shared" si="9"/>
        <v>41760</v>
      </c>
      <c r="AU15" s="90">
        <f t="shared" si="9"/>
        <v>41791</v>
      </c>
      <c r="AV15" s="90">
        <f t="shared" si="9"/>
        <v>41821</v>
      </c>
      <c r="AW15" s="90">
        <f t="shared" si="9"/>
        <v>41852</v>
      </c>
      <c r="AX15" s="90">
        <f t="shared" si="9"/>
        <v>41883</v>
      </c>
      <c r="AY15" s="90">
        <f t="shared" si="9"/>
        <v>41913</v>
      </c>
      <c r="AZ15" s="90">
        <f t="shared" si="9"/>
        <v>41944</v>
      </c>
      <c r="BA15" s="90">
        <f t="shared" si="9"/>
        <v>41974</v>
      </c>
      <c r="BB15" s="90">
        <f t="shared" si="9"/>
        <v>42005</v>
      </c>
      <c r="BC15" s="90">
        <f t="shared" si="9"/>
        <v>42036</v>
      </c>
      <c r="BD15" s="90">
        <f t="shared" si="9"/>
        <v>42064</v>
      </c>
      <c r="BE15" s="90">
        <f t="shared" si="9"/>
        <v>42095</v>
      </c>
      <c r="BF15" s="90">
        <f t="shared" si="9"/>
        <v>42125</v>
      </c>
      <c r="BG15" s="90">
        <f t="shared" si="9"/>
        <v>42156</v>
      </c>
      <c r="BH15" s="90">
        <f t="shared" si="9"/>
        <v>42186</v>
      </c>
      <c r="BI15" s="90">
        <f t="shared" si="9"/>
        <v>42217</v>
      </c>
      <c r="BJ15" s="90">
        <f t="shared" si="9"/>
        <v>42248</v>
      </c>
      <c r="BK15" s="90">
        <f t="shared" si="9"/>
        <v>42278</v>
      </c>
      <c r="BL15" s="90">
        <f t="shared" si="9"/>
        <v>42309</v>
      </c>
      <c r="BM15" s="90">
        <f t="shared" si="9"/>
        <v>42339</v>
      </c>
      <c r="BN15" s="90">
        <f t="shared" si="9"/>
        <v>42370</v>
      </c>
      <c r="BO15" s="90">
        <f t="shared" si="9"/>
        <v>42401</v>
      </c>
      <c r="BP15" s="90">
        <f t="shared" si="9"/>
        <v>42430</v>
      </c>
      <c r="BQ15" s="90">
        <f t="shared" si="9"/>
        <v>42461</v>
      </c>
      <c r="BR15" s="90">
        <f t="shared" si="9"/>
        <v>42491</v>
      </c>
      <c r="BS15" s="90">
        <f t="shared" si="9"/>
        <v>42522</v>
      </c>
      <c r="BT15" s="90">
        <f t="shared" si="9"/>
        <v>42552</v>
      </c>
      <c r="BU15" s="90">
        <f t="shared" si="9"/>
        <v>42583</v>
      </c>
      <c r="BV15" s="90">
        <f t="shared" si="9"/>
        <v>42614</v>
      </c>
      <c r="BW15" s="90">
        <f xml:space="preserve"> IF(BW14 = 1, $F12, DATE(YEAR(BV15), MONTH(BV15) + $F13, DAY(1)))</f>
        <v>42644</v>
      </c>
      <c r="BX15" s="90">
        <f xml:space="preserve"> IF(BX14 = 1, $F12, DATE(YEAR(BW15), MONTH(BW15) + $F13, DAY(1)))</f>
        <v>42675</v>
      </c>
      <c r="BY15" s="90">
        <f xml:space="preserve"> IF(BY14 = 1, $F12, DATE(YEAR(BX15), MONTH(BX15) + $F13, DAY(1)))</f>
        <v>42705</v>
      </c>
    </row>
    <row r="16" spans="1:77" s="119" customFormat="1" x14ac:dyDescent="0.2">
      <c r="A16" s="117"/>
      <c r="B16" s="117"/>
      <c r="C16" s="118"/>
    </row>
    <row r="17" spans="1:77" s="113" customFormat="1" x14ac:dyDescent="0.2">
      <c r="A17" s="110"/>
      <c r="B17" s="110"/>
      <c r="C17" s="111"/>
      <c r="D17" s="112"/>
      <c r="E17" s="109" t="str">
        <f xml:space="preserve"> InpC!E$11</f>
        <v>Months per model period</v>
      </c>
      <c r="F17" s="109">
        <f xml:space="preserve"> InpC!F$11</f>
        <v>1</v>
      </c>
      <c r="G17" s="109" t="str">
        <f xml:space="preserve"> InpC!G$11</f>
        <v>months</v>
      </c>
    </row>
    <row r="18" spans="1:77" s="90" customFormat="1" x14ac:dyDescent="0.2">
      <c r="A18" s="22"/>
      <c r="B18" s="22"/>
      <c r="C18" s="37"/>
      <c r="D18" s="89"/>
      <c r="E18" s="90" t="str">
        <f xml:space="preserve"> E$15</f>
        <v xml:space="preserve">Model period beginning </v>
      </c>
      <c r="F18" s="90">
        <f t="shared" ref="F18:BQ18" si="10" xml:space="preserve"> F$15</f>
        <v>0</v>
      </c>
      <c r="G18" s="90" t="str">
        <f t="shared" si="10"/>
        <v>date</v>
      </c>
      <c r="H18" s="90">
        <f t="shared" si="10"/>
        <v>0</v>
      </c>
      <c r="I18" s="90">
        <f t="shared" si="10"/>
        <v>0</v>
      </c>
      <c r="J18" s="90">
        <f t="shared" si="10"/>
        <v>40664</v>
      </c>
      <c r="K18" s="90">
        <f t="shared" si="10"/>
        <v>40695</v>
      </c>
      <c r="L18" s="90">
        <f t="shared" si="10"/>
        <v>40725</v>
      </c>
      <c r="M18" s="90">
        <f t="shared" si="10"/>
        <v>40756</v>
      </c>
      <c r="N18" s="90">
        <f t="shared" si="10"/>
        <v>40787</v>
      </c>
      <c r="O18" s="90">
        <f t="shared" si="10"/>
        <v>40817</v>
      </c>
      <c r="P18" s="90">
        <f t="shared" si="10"/>
        <v>40848</v>
      </c>
      <c r="Q18" s="90">
        <f t="shared" si="10"/>
        <v>40878</v>
      </c>
      <c r="R18" s="90">
        <f t="shared" si="10"/>
        <v>40909</v>
      </c>
      <c r="S18" s="90">
        <f t="shared" si="10"/>
        <v>40940</v>
      </c>
      <c r="T18" s="90">
        <f t="shared" si="10"/>
        <v>40969</v>
      </c>
      <c r="U18" s="90">
        <f t="shared" si="10"/>
        <v>41000</v>
      </c>
      <c r="V18" s="90">
        <f t="shared" si="10"/>
        <v>41030</v>
      </c>
      <c r="W18" s="90">
        <f t="shared" si="10"/>
        <v>41061</v>
      </c>
      <c r="X18" s="90">
        <f t="shared" si="10"/>
        <v>41091</v>
      </c>
      <c r="Y18" s="90">
        <f t="shared" si="10"/>
        <v>41122</v>
      </c>
      <c r="Z18" s="90">
        <f t="shared" si="10"/>
        <v>41153</v>
      </c>
      <c r="AA18" s="90">
        <f t="shared" si="10"/>
        <v>41183</v>
      </c>
      <c r="AB18" s="90">
        <f t="shared" si="10"/>
        <v>41214</v>
      </c>
      <c r="AC18" s="90">
        <f t="shared" si="10"/>
        <v>41244</v>
      </c>
      <c r="AD18" s="90">
        <f t="shared" si="10"/>
        <v>41275</v>
      </c>
      <c r="AE18" s="90">
        <f t="shared" si="10"/>
        <v>41306</v>
      </c>
      <c r="AF18" s="90">
        <f t="shared" si="10"/>
        <v>41334</v>
      </c>
      <c r="AG18" s="90">
        <f t="shared" si="10"/>
        <v>41365</v>
      </c>
      <c r="AH18" s="90">
        <f t="shared" si="10"/>
        <v>41395</v>
      </c>
      <c r="AI18" s="90">
        <f t="shared" si="10"/>
        <v>41426</v>
      </c>
      <c r="AJ18" s="90">
        <f t="shared" si="10"/>
        <v>41456</v>
      </c>
      <c r="AK18" s="90">
        <f t="shared" si="10"/>
        <v>41487</v>
      </c>
      <c r="AL18" s="90">
        <f t="shared" si="10"/>
        <v>41518</v>
      </c>
      <c r="AM18" s="90">
        <f t="shared" si="10"/>
        <v>41548</v>
      </c>
      <c r="AN18" s="90">
        <f t="shared" si="10"/>
        <v>41579</v>
      </c>
      <c r="AO18" s="90">
        <f t="shared" si="10"/>
        <v>41609</v>
      </c>
      <c r="AP18" s="90">
        <f t="shared" si="10"/>
        <v>41640</v>
      </c>
      <c r="AQ18" s="90">
        <f t="shared" si="10"/>
        <v>41671</v>
      </c>
      <c r="AR18" s="90">
        <f t="shared" si="10"/>
        <v>41699</v>
      </c>
      <c r="AS18" s="90">
        <f t="shared" si="10"/>
        <v>41730</v>
      </c>
      <c r="AT18" s="90">
        <f t="shared" si="10"/>
        <v>41760</v>
      </c>
      <c r="AU18" s="90">
        <f t="shared" si="10"/>
        <v>41791</v>
      </c>
      <c r="AV18" s="90">
        <f t="shared" si="10"/>
        <v>41821</v>
      </c>
      <c r="AW18" s="90">
        <f t="shared" si="10"/>
        <v>41852</v>
      </c>
      <c r="AX18" s="90">
        <f t="shared" si="10"/>
        <v>41883</v>
      </c>
      <c r="AY18" s="90">
        <f t="shared" si="10"/>
        <v>41913</v>
      </c>
      <c r="AZ18" s="90">
        <f t="shared" si="10"/>
        <v>41944</v>
      </c>
      <c r="BA18" s="90">
        <f t="shared" si="10"/>
        <v>41974</v>
      </c>
      <c r="BB18" s="90">
        <f t="shared" si="10"/>
        <v>42005</v>
      </c>
      <c r="BC18" s="90">
        <f t="shared" si="10"/>
        <v>42036</v>
      </c>
      <c r="BD18" s="90">
        <f t="shared" si="10"/>
        <v>42064</v>
      </c>
      <c r="BE18" s="90">
        <f t="shared" si="10"/>
        <v>42095</v>
      </c>
      <c r="BF18" s="90">
        <f t="shared" si="10"/>
        <v>42125</v>
      </c>
      <c r="BG18" s="90">
        <f t="shared" si="10"/>
        <v>42156</v>
      </c>
      <c r="BH18" s="90">
        <f t="shared" si="10"/>
        <v>42186</v>
      </c>
      <c r="BI18" s="90">
        <f t="shared" si="10"/>
        <v>42217</v>
      </c>
      <c r="BJ18" s="90">
        <f t="shared" si="10"/>
        <v>42248</v>
      </c>
      <c r="BK18" s="90">
        <f t="shared" si="10"/>
        <v>42278</v>
      </c>
      <c r="BL18" s="90">
        <f t="shared" si="10"/>
        <v>42309</v>
      </c>
      <c r="BM18" s="90">
        <f t="shared" si="10"/>
        <v>42339</v>
      </c>
      <c r="BN18" s="90">
        <f t="shared" si="10"/>
        <v>42370</v>
      </c>
      <c r="BO18" s="90">
        <f t="shared" si="10"/>
        <v>42401</v>
      </c>
      <c r="BP18" s="90">
        <f t="shared" si="10"/>
        <v>42430</v>
      </c>
      <c r="BQ18" s="90">
        <f t="shared" si="10"/>
        <v>42461</v>
      </c>
      <c r="BR18" s="90">
        <f t="shared" ref="BR18:BY18" si="11" xml:space="preserve"> BR$15</f>
        <v>42491</v>
      </c>
      <c r="BS18" s="90">
        <f t="shared" si="11"/>
        <v>42522</v>
      </c>
      <c r="BT18" s="90">
        <f t="shared" si="11"/>
        <v>42552</v>
      </c>
      <c r="BU18" s="90">
        <f t="shared" si="11"/>
        <v>42583</v>
      </c>
      <c r="BV18" s="90">
        <f t="shared" si="11"/>
        <v>42614</v>
      </c>
      <c r="BW18" s="90">
        <f t="shared" si="11"/>
        <v>42644</v>
      </c>
      <c r="BX18" s="90">
        <f t="shared" si="11"/>
        <v>42675</v>
      </c>
      <c r="BY18" s="90">
        <f t="shared" si="11"/>
        <v>42705</v>
      </c>
    </row>
    <row r="19" spans="1:77" s="90" customFormat="1" x14ac:dyDescent="0.2">
      <c r="A19" s="22"/>
      <c r="B19" s="22"/>
      <c r="C19" s="37"/>
      <c r="D19" s="89"/>
      <c r="E19" s="90" t="s">
        <v>33</v>
      </c>
      <c r="G19" s="90" t="s">
        <v>17</v>
      </c>
      <c r="J19" s="90">
        <f xml:space="preserve"> DATE(YEAR(J18), MONTH(J18) + $F17, DAY(J18) -1)</f>
        <v>40694</v>
      </c>
      <c r="K19" s="90">
        <f t="shared" ref="K19:BV19" si="12" xml:space="preserve"> DATE(YEAR(K18), MONTH(K18) + $F17, DAY(K18) -1)</f>
        <v>40724</v>
      </c>
      <c r="L19" s="90">
        <f t="shared" si="12"/>
        <v>40755</v>
      </c>
      <c r="M19" s="90">
        <f t="shared" si="12"/>
        <v>40786</v>
      </c>
      <c r="N19" s="90">
        <f t="shared" si="12"/>
        <v>40816</v>
      </c>
      <c r="O19" s="90">
        <f t="shared" si="12"/>
        <v>40847</v>
      </c>
      <c r="P19" s="90">
        <f t="shared" si="12"/>
        <v>40877</v>
      </c>
      <c r="Q19" s="90">
        <f t="shared" si="12"/>
        <v>40908</v>
      </c>
      <c r="R19" s="90">
        <f t="shared" si="12"/>
        <v>40939</v>
      </c>
      <c r="S19" s="90">
        <f t="shared" si="12"/>
        <v>40968</v>
      </c>
      <c r="T19" s="90">
        <f t="shared" si="12"/>
        <v>40999</v>
      </c>
      <c r="U19" s="90">
        <f t="shared" si="12"/>
        <v>41029</v>
      </c>
      <c r="V19" s="90">
        <f t="shared" si="12"/>
        <v>41060</v>
      </c>
      <c r="W19" s="90">
        <f t="shared" si="12"/>
        <v>41090</v>
      </c>
      <c r="X19" s="90">
        <f t="shared" si="12"/>
        <v>41121</v>
      </c>
      <c r="Y19" s="90">
        <f t="shared" si="12"/>
        <v>41152</v>
      </c>
      <c r="Z19" s="90">
        <f t="shared" si="12"/>
        <v>41182</v>
      </c>
      <c r="AA19" s="90">
        <f t="shared" si="12"/>
        <v>41213</v>
      </c>
      <c r="AB19" s="90">
        <f t="shared" si="12"/>
        <v>41243</v>
      </c>
      <c r="AC19" s="90">
        <f t="shared" si="12"/>
        <v>41274</v>
      </c>
      <c r="AD19" s="90">
        <f t="shared" si="12"/>
        <v>41305</v>
      </c>
      <c r="AE19" s="90">
        <f t="shared" si="12"/>
        <v>41333</v>
      </c>
      <c r="AF19" s="90">
        <f t="shared" si="12"/>
        <v>41364</v>
      </c>
      <c r="AG19" s="90">
        <f t="shared" si="12"/>
        <v>41394</v>
      </c>
      <c r="AH19" s="90">
        <f t="shared" si="12"/>
        <v>41425</v>
      </c>
      <c r="AI19" s="90">
        <f t="shared" si="12"/>
        <v>41455</v>
      </c>
      <c r="AJ19" s="90">
        <f t="shared" si="12"/>
        <v>41486</v>
      </c>
      <c r="AK19" s="90">
        <f t="shared" si="12"/>
        <v>41517</v>
      </c>
      <c r="AL19" s="90">
        <f t="shared" si="12"/>
        <v>41547</v>
      </c>
      <c r="AM19" s="90">
        <f t="shared" si="12"/>
        <v>41578</v>
      </c>
      <c r="AN19" s="90">
        <f t="shared" si="12"/>
        <v>41608</v>
      </c>
      <c r="AO19" s="90">
        <f t="shared" si="12"/>
        <v>41639</v>
      </c>
      <c r="AP19" s="90">
        <f t="shared" si="12"/>
        <v>41670</v>
      </c>
      <c r="AQ19" s="90">
        <f t="shared" si="12"/>
        <v>41698</v>
      </c>
      <c r="AR19" s="90">
        <f t="shared" si="12"/>
        <v>41729</v>
      </c>
      <c r="AS19" s="90">
        <f t="shared" si="12"/>
        <v>41759</v>
      </c>
      <c r="AT19" s="90">
        <f t="shared" si="12"/>
        <v>41790</v>
      </c>
      <c r="AU19" s="90">
        <f t="shared" si="12"/>
        <v>41820</v>
      </c>
      <c r="AV19" s="90">
        <f t="shared" si="12"/>
        <v>41851</v>
      </c>
      <c r="AW19" s="90">
        <f t="shared" si="12"/>
        <v>41882</v>
      </c>
      <c r="AX19" s="90">
        <f t="shared" si="12"/>
        <v>41912</v>
      </c>
      <c r="AY19" s="90">
        <f t="shared" si="12"/>
        <v>41943</v>
      </c>
      <c r="AZ19" s="90">
        <f t="shared" si="12"/>
        <v>41973</v>
      </c>
      <c r="BA19" s="90">
        <f t="shared" si="12"/>
        <v>42004</v>
      </c>
      <c r="BB19" s="90">
        <f t="shared" si="12"/>
        <v>42035</v>
      </c>
      <c r="BC19" s="90">
        <f t="shared" si="12"/>
        <v>42063</v>
      </c>
      <c r="BD19" s="90">
        <f t="shared" si="12"/>
        <v>42094</v>
      </c>
      <c r="BE19" s="90">
        <f t="shared" si="12"/>
        <v>42124</v>
      </c>
      <c r="BF19" s="90">
        <f t="shared" si="12"/>
        <v>42155</v>
      </c>
      <c r="BG19" s="90">
        <f t="shared" si="12"/>
        <v>42185</v>
      </c>
      <c r="BH19" s="90">
        <f t="shared" si="12"/>
        <v>42216</v>
      </c>
      <c r="BI19" s="90">
        <f t="shared" si="12"/>
        <v>42247</v>
      </c>
      <c r="BJ19" s="90">
        <f t="shared" si="12"/>
        <v>42277</v>
      </c>
      <c r="BK19" s="90">
        <f t="shared" si="12"/>
        <v>42308</v>
      </c>
      <c r="BL19" s="90">
        <f t="shared" si="12"/>
        <v>42338</v>
      </c>
      <c r="BM19" s="90">
        <f t="shared" si="12"/>
        <v>42369</v>
      </c>
      <c r="BN19" s="90">
        <f t="shared" si="12"/>
        <v>42400</v>
      </c>
      <c r="BO19" s="90">
        <f t="shared" si="12"/>
        <v>42429</v>
      </c>
      <c r="BP19" s="90">
        <f t="shared" si="12"/>
        <v>42460</v>
      </c>
      <c r="BQ19" s="90">
        <f t="shared" si="12"/>
        <v>42490</v>
      </c>
      <c r="BR19" s="90">
        <f t="shared" si="12"/>
        <v>42521</v>
      </c>
      <c r="BS19" s="90">
        <f t="shared" si="12"/>
        <v>42551</v>
      </c>
      <c r="BT19" s="90">
        <f t="shared" si="12"/>
        <v>42582</v>
      </c>
      <c r="BU19" s="90">
        <f t="shared" si="12"/>
        <v>42613</v>
      </c>
      <c r="BV19" s="90">
        <f t="shared" si="12"/>
        <v>42643</v>
      </c>
      <c r="BW19" s="90">
        <f xml:space="preserve"> DATE(YEAR(BW18), MONTH(BW18) + $F17, DAY(BW18) -1)</f>
        <v>42674</v>
      </c>
      <c r="BX19" s="90">
        <f xml:space="preserve"> DATE(YEAR(BX18), MONTH(BX18) + $F17, DAY(BX18) -1)</f>
        <v>42704</v>
      </c>
      <c r="BY19" s="90">
        <f xml:space="preserve"> DATE(YEAR(BY18), MONTH(BY18) + $F17, DAY(BY18) -1)</f>
        <v>42735</v>
      </c>
    </row>
    <row r="20" spans="1:77" s="121" customFormat="1" x14ac:dyDescent="0.2">
      <c r="A20" s="117"/>
      <c r="B20" s="117"/>
      <c r="C20" s="120"/>
    </row>
    <row r="21" spans="1:77" s="114" customFormat="1" x14ac:dyDescent="0.2">
      <c r="E21" s="114" t="str">
        <f xml:space="preserve"> InpC!E$16</f>
        <v>First modelling column financial year number</v>
      </c>
      <c r="F21" s="114">
        <f xml:space="preserve"> InpC!F$16</f>
        <v>2011</v>
      </c>
      <c r="G21" s="114" t="str">
        <f xml:space="preserve"> InpC!G$16</f>
        <v>year #</v>
      </c>
    </row>
    <row r="22" spans="1:77" s="124" customFormat="1" x14ac:dyDescent="0.2">
      <c r="A22" s="122"/>
      <c r="B22" s="122"/>
      <c r="C22" s="123"/>
      <c r="E22" s="124" t="str">
        <f xml:space="preserve"> InpC!E$17</f>
        <v>Financial year end month number</v>
      </c>
      <c r="F22" s="124">
        <f xml:space="preserve"> InpC!F$17</f>
        <v>6</v>
      </c>
      <c r="G22" s="124" t="str">
        <f xml:space="preserve"> InpC!G$17</f>
        <v>month #</v>
      </c>
    </row>
    <row r="23" spans="1:77" s="36" customFormat="1" x14ac:dyDescent="0.2">
      <c r="A23" s="22"/>
      <c r="B23" s="22"/>
      <c r="C23" s="37"/>
      <c r="D23" s="38"/>
      <c r="E23" s="36" t="str">
        <f xml:space="preserve"> E$19</f>
        <v xml:space="preserve">Model period ending </v>
      </c>
      <c r="F23" s="36">
        <f t="shared" ref="F23:BQ23" si="13" xml:space="preserve"> F$19</f>
        <v>0</v>
      </c>
      <c r="G23" s="36" t="str">
        <f t="shared" si="13"/>
        <v>date</v>
      </c>
      <c r="H23" s="36">
        <f t="shared" si="13"/>
        <v>0</v>
      </c>
      <c r="I23" s="36">
        <f t="shared" si="13"/>
        <v>0</v>
      </c>
      <c r="J23" s="36">
        <f t="shared" si="13"/>
        <v>40694</v>
      </c>
      <c r="K23" s="36">
        <f t="shared" si="13"/>
        <v>40724</v>
      </c>
      <c r="L23" s="36">
        <f t="shared" si="13"/>
        <v>40755</v>
      </c>
      <c r="M23" s="36">
        <f t="shared" si="13"/>
        <v>40786</v>
      </c>
      <c r="N23" s="36">
        <f t="shared" si="13"/>
        <v>40816</v>
      </c>
      <c r="O23" s="36">
        <f t="shared" si="13"/>
        <v>40847</v>
      </c>
      <c r="P23" s="36">
        <f t="shared" si="13"/>
        <v>40877</v>
      </c>
      <c r="Q23" s="36">
        <f t="shared" si="13"/>
        <v>40908</v>
      </c>
      <c r="R23" s="36">
        <f t="shared" si="13"/>
        <v>40939</v>
      </c>
      <c r="S23" s="36">
        <f t="shared" si="13"/>
        <v>40968</v>
      </c>
      <c r="T23" s="36">
        <f t="shared" si="13"/>
        <v>40999</v>
      </c>
      <c r="U23" s="36">
        <f t="shared" si="13"/>
        <v>41029</v>
      </c>
      <c r="V23" s="36">
        <f t="shared" si="13"/>
        <v>41060</v>
      </c>
      <c r="W23" s="36">
        <f t="shared" si="13"/>
        <v>41090</v>
      </c>
      <c r="X23" s="36">
        <f t="shared" si="13"/>
        <v>41121</v>
      </c>
      <c r="Y23" s="36">
        <f t="shared" si="13"/>
        <v>41152</v>
      </c>
      <c r="Z23" s="36">
        <f t="shared" si="13"/>
        <v>41182</v>
      </c>
      <c r="AA23" s="36">
        <f t="shared" si="13"/>
        <v>41213</v>
      </c>
      <c r="AB23" s="36">
        <f t="shared" si="13"/>
        <v>41243</v>
      </c>
      <c r="AC23" s="36">
        <f t="shared" si="13"/>
        <v>41274</v>
      </c>
      <c r="AD23" s="36">
        <f t="shared" si="13"/>
        <v>41305</v>
      </c>
      <c r="AE23" s="36">
        <f t="shared" si="13"/>
        <v>41333</v>
      </c>
      <c r="AF23" s="36">
        <f t="shared" si="13"/>
        <v>41364</v>
      </c>
      <c r="AG23" s="36">
        <f t="shared" si="13"/>
        <v>41394</v>
      </c>
      <c r="AH23" s="36">
        <f t="shared" si="13"/>
        <v>41425</v>
      </c>
      <c r="AI23" s="36">
        <f t="shared" si="13"/>
        <v>41455</v>
      </c>
      <c r="AJ23" s="36">
        <f t="shared" si="13"/>
        <v>41486</v>
      </c>
      <c r="AK23" s="36">
        <f t="shared" si="13"/>
        <v>41517</v>
      </c>
      <c r="AL23" s="36">
        <f t="shared" si="13"/>
        <v>41547</v>
      </c>
      <c r="AM23" s="36">
        <f t="shared" si="13"/>
        <v>41578</v>
      </c>
      <c r="AN23" s="36">
        <f t="shared" si="13"/>
        <v>41608</v>
      </c>
      <c r="AO23" s="36">
        <f t="shared" si="13"/>
        <v>41639</v>
      </c>
      <c r="AP23" s="36">
        <f t="shared" si="13"/>
        <v>41670</v>
      </c>
      <c r="AQ23" s="36">
        <f t="shared" si="13"/>
        <v>41698</v>
      </c>
      <c r="AR23" s="36">
        <f t="shared" si="13"/>
        <v>41729</v>
      </c>
      <c r="AS23" s="36">
        <f t="shared" si="13"/>
        <v>41759</v>
      </c>
      <c r="AT23" s="36">
        <f t="shared" si="13"/>
        <v>41790</v>
      </c>
      <c r="AU23" s="36">
        <f t="shared" si="13"/>
        <v>41820</v>
      </c>
      <c r="AV23" s="36">
        <f t="shared" si="13"/>
        <v>41851</v>
      </c>
      <c r="AW23" s="36">
        <f t="shared" si="13"/>
        <v>41882</v>
      </c>
      <c r="AX23" s="36">
        <f t="shared" si="13"/>
        <v>41912</v>
      </c>
      <c r="AY23" s="36">
        <f t="shared" si="13"/>
        <v>41943</v>
      </c>
      <c r="AZ23" s="36">
        <f t="shared" si="13"/>
        <v>41973</v>
      </c>
      <c r="BA23" s="36">
        <f t="shared" si="13"/>
        <v>42004</v>
      </c>
      <c r="BB23" s="36">
        <f t="shared" si="13"/>
        <v>42035</v>
      </c>
      <c r="BC23" s="36">
        <f t="shared" si="13"/>
        <v>42063</v>
      </c>
      <c r="BD23" s="36">
        <f t="shared" si="13"/>
        <v>42094</v>
      </c>
      <c r="BE23" s="36">
        <f t="shared" si="13"/>
        <v>42124</v>
      </c>
      <c r="BF23" s="36">
        <f t="shared" si="13"/>
        <v>42155</v>
      </c>
      <c r="BG23" s="36">
        <f t="shared" si="13"/>
        <v>42185</v>
      </c>
      <c r="BH23" s="36">
        <f t="shared" si="13"/>
        <v>42216</v>
      </c>
      <c r="BI23" s="36">
        <f t="shared" si="13"/>
        <v>42247</v>
      </c>
      <c r="BJ23" s="36">
        <f t="shared" si="13"/>
        <v>42277</v>
      </c>
      <c r="BK23" s="36">
        <f t="shared" si="13"/>
        <v>42308</v>
      </c>
      <c r="BL23" s="36">
        <f t="shared" si="13"/>
        <v>42338</v>
      </c>
      <c r="BM23" s="36">
        <f t="shared" si="13"/>
        <v>42369</v>
      </c>
      <c r="BN23" s="36">
        <f t="shared" si="13"/>
        <v>42400</v>
      </c>
      <c r="BO23" s="36">
        <f t="shared" si="13"/>
        <v>42429</v>
      </c>
      <c r="BP23" s="36">
        <f t="shared" si="13"/>
        <v>42460</v>
      </c>
      <c r="BQ23" s="36">
        <f t="shared" si="13"/>
        <v>42490</v>
      </c>
      <c r="BR23" s="36">
        <f t="shared" ref="BR23:BY23" si="14" xml:space="preserve"> BR$19</f>
        <v>42521</v>
      </c>
      <c r="BS23" s="36">
        <f t="shared" si="14"/>
        <v>42551</v>
      </c>
      <c r="BT23" s="36">
        <f t="shared" si="14"/>
        <v>42582</v>
      </c>
      <c r="BU23" s="36">
        <f t="shared" si="14"/>
        <v>42613</v>
      </c>
      <c r="BV23" s="36">
        <f t="shared" si="14"/>
        <v>42643</v>
      </c>
      <c r="BW23" s="36">
        <f t="shared" si="14"/>
        <v>42674</v>
      </c>
      <c r="BX23" s="36">
        <f t="shared" si="14"/>
        <v>42704</v>
      </c>
      <c r="BY23" s="36">
        <f t="shared" si="14"/>
        <v>42735</v>
      </c>
    </row>
    <row r="24" spans="1:77" s="8" customFormat="1" x14ac:dyDescent="0.2">
      <c r="A24" s="5"/>
      <c r="B24" s="11"/>
      <c r="C24" s="6"/>
      <c r="D24" s="7"/>
      <c r="E24" s="8" t="str">
        <f xml:space="preserve"> E$10</f>
        <v>First model column flag</v>
      </c>
      <c r="F24" s="8">
        <f t="shared" ref="F24:BQ24" si="15" xml:space="preserve"> F$10</f>
        <v>0</v>
      </c>
      <c r="G24" s="8" t="str">
        <f t="shared" si="15"/>
        <v>flag</v>
      </c>
      <c r="H24" s="8">
        <f t="shared" si="15"/>
        <v>1</v>
      </c>
      <c r="I24" s="8">
        <f t="shared" si="15"/>
        <v>0</v>
      </c>
      <c r="J24" s="8">
        <f t="shared" si="15"/>
        <v>1</v>
      </c>
      <c r="K24" s="8">
        <f t="shared" si="15"/>
        <v>0</v>
      </c>
      <c r="L24" s="8">
        <f t="shared" si="15"/>
        <v>0</v>
      </c>
      <c r="M24" s="8">
        <f t="shared" si="15"/>
        <v>0</v>
      </c>
      <c r="N24" s="8">
        <f t="shared" si="15"/>
        <v>0</v>
      </c>
      <c r="O24" s="8">
        <f t="shared" si="15"/>
        <v>0</v>
      </c>
      <c r="P24" s="8">
        <f t="shared" si="15"/>
        <v>0</v>
      </c>
      <c r="Q24" s="8">
        <f t="shared" si="15"/>
        <v>0</v>
      </c>
      <c r="R24" s="8">
        <f t="shared" si="15"/>
        <v>0</v>
      </c>
      <c r="S24" s="8">
        <f t="shared" si="15"/>
        <v>0</v>
      </c>
      <c r="T24" s="8">
        <f t="shared" si="15"/>
        <v>0</v>
      </c>
      <c r="U24" s="8">
        <f t="shared" si="15"/>
        <v>0</v>
      </c>
      <c r="V24" s="8">
        <f t="shared" si="15"/>
        <v>0</v>
      </c>
      <c r="W24" s="8">
        <f t="shared" si="15"/>
        <v>0</v>
      </c>
      <c r="X24" s="8">
        <f t="shared" si="15"/>
        <v>0</v>
      </c>
      <c r="Y24" s="8">
        <f t="shared" si="15"/>
        <v>0</v>
      </c>
      <c r="Z24" s="8">
        <f t="shared" si="15"/>
        <v>0</v>
      </c>
      <c r="AA24" s="8">
        <f t="shared" si="15"/>
        <v>0</v>
      </c>
      <c r="AB24" s="8">
        <f t="shared" si="15"/>
        <v>0</v>
      </c>
      <c r="AC24" s="8">
        <f t="shared" si="15"/>
        <v>0</v>
      </c>
      <c r="AD24" s="8">
        <f t="shared" si="15"/>
        <v>0</v>
      </c>
      <c r="AE24" s="8">
        <f t="shared" si="15"/>
        <v>0</v>
      </c>
      <c r="AF24" s="8">
        <f t="shared" si="15"/>
        <v>0</v>
      </c>
      <c r="AG24" s="8">
        <f t="shared" si="15"/>
        <v>0</v>
      </c>
      <c r="AH24" s="8">
        <f t="shared" si="15"/>
        <v>0</v>
      </c>
      <c r="AI24" s="8">
        <f t="shared" si="15"/>
        <v>0</v>
      </c>
      <c r="AJ24" s="8">
        <f t="shared" si="15"/>
        <v>0</v>
      </c>
      <c r="AK24" s="8">
        <f t="shared" si="15"/>
        <v>0</v>
      </c>
      <c r="AL24" s="8">
        <f t="shared" si="15"/>
        <v>0</v>
      </c>
      <c r="AM24" s="8">
        <f t="shared" si="15"/>
        <v>0</v>
      </c>
      <c r="AN24" s="8">
        <f t="shared" si="15"/>
        <v>0</v>
      </c>
      <c r="AO24" s="8">
        <f t="shared" si="15"/>
        <v>0</v>
      </c>
      <c r="AP24" s="8">
        <f t="shared" si="15"/>
        <v>0</v>
      </c>
      <c r="AQ24" s="8">
        <f t="shared" si="15"/>
        <v>0</v>
      </c>
      <c r="AR24" s="8">
        <f t="shared" si="15"/>
        <v>0</v>
      </c>
      <c r="AS24" s="8">
        <f t="shared" si="15"/>
        <v>0</v>
      </c>
      <c r="AT24" s="8">
        <f t="shared" si="15"/>
        <v>0</v>
      </c>
      <c r="AU24" s="8">
        <f t="shared" si="15"/>
        <v>0</v>
      </c>
      <c r="AV24" s="8">
        <f t="shared" si="15"/>
        <v>0</v>
      </c>
      <c r="AW24" s="8">
        <f t="shared" si="15"/>
        <v>0</v>
      </c>
      <c r="AX24" s="8">
        <f t="shared" si="15"/>
        <v>0</v>
      </c>
      <c r="AY24" s="8">
        <f t="shared" si="15"/>
        <v>0</v>
      </c>
      <c r="AZ24" s="8">
        <f t="shared" si="15"/>
        <v>0</v>
      </c>
      <c r="BA24" s="8">
        <f t="shared" si="15"/>
        <v>0</v>
      </c>
      <c r="BB24" s="8">
        <f t="shared" si="15"/>
        <v>0</v>
      </c>
      <c r="BC24" s="8">
        <f t="shared" si="15"/>
        <v>0</v>
      </c>
      <c r="BD24" s="8">
        <f t="shared" si="15"/>
        <v>0</v>
      </c>
      <c r="BE24" s="8">
        <f t="shared" si="15"/>
        <v>0</v>
      </c>
      <c r="BF24" s="8">
        <f t="shared" si="15"/>
        <v>0</v>
      </c>
      <c r="BG24" s="8">
        <f t="shared" si="15"/>
        <v>0</v>
      </c>
      <c r="BH24" s="8">
        <f t="shared" si="15"/>
        <v>0</v>
      </c>
      <c r="BI24" s="8">
        <f t="shared" si="15"/>
        <v>0</v>
      </c>
      <c r="BJ24" s="8">
        <f t="shared" si="15"/>
        <v>0</v>
      </c>
      <c r="BK24" s="8">
        <f t="shared" si="15"/>
        <v>0</v>
      </c>
      <c r="BL24" s="8">
        <f t="shared" si="15"/>
        <v>0</v>
      </c>
      <c r="BM24" s="8">
        <f t="shared" si="15"/>
        <v>0</v>
      </c>
      <c r="BN24" s="8">
        <f t="shared" si="15"/>
        <v>0</v>
      </c>
      <c r="BO24" s="8">
        <f t="shared" si="15"/>
        <v>0</v>
      </c>
      <c r="BP24" s="8">
        <f t="shared" si="15"/>
        <v>0</v>
      </c>
      <c r="BQ24" s="8">
        <f t="shared" si="15"/>
        <v>0</v>
      </c>
      <c r="BR24" s="8">
        <f t="shared" ref="BR24:BY24" si="16" xml:space="preserve"> BR$10</f>
        <v>0</v>
      </c>
      <c r="BS24" s="8">
        <f t="shared" si="16"/>
        <v>0</v>
      </c>
      <c r="BT24" s="8">
        <f t="shared" si="16"/>
        <v>0</v>
      </c>
      <c r="BU24" s="8">
        <f t="shared" si="16"/>
        <v>0</v>
      </c>
      <c r="BV24" s="8">
        <f t="shared" si="16"/>
        <v>0</v>
      </c>
      <c r="BW24" s="8">
        <f t="shared" si="16"/>
        <v>0</v>
      </c>
      <c r="BX24" s="8">
        <f t="shared" si="16"/>
        <v>0</v>
      </c>
      <c r="BY24" s="8">
        <f t="shared" si="16"/>
        <v>0</v>
      </c>
    </row>
    <row r="25" spans="1:77" s="75" customFormat="1" x14ac:dyDescent="0.2">
      <c r="A25" s="69"/>
      <c r="B25" s="70"/>
      <c r="C25" s="71"/>
      <c r="D25" s="74"/>
      <c r="E25" s="8" t="s">
        <v>28</v>
      </c>
      <c r="G25" s="75" t="s">
        <v>29</v>
      </c>
      <c r="I25" s="76"/>
      <c r="J25" s="75">
        <f t="shared" ref="J25:BU25" si="17" xml:space="preserve"> IF(J24 = 1, $F21, IF(J23 &gt; (DATE(I25, $F22 + 1, 1) - 1), I25 + 1, I25))</f>
        <v>2011</v>
      </c>
      <c r="K25" s="75">
        <f xml:space="preserve"> IF(K24 = 1, $F21, IF(K23 &gt; (DATE(J25, $F22 + 1, 1) - 1), J25 + 1, J25))</f>
        <v>2011</v>
      </c>
      <c r="L25" s="75">
        <f t="shared" si="17"/>
        <v>2012</v>
      </c>
      <c r="M25" s="75">
        <f t="shared" si="17"/>
        <v>2012</v>
      </c>
      <c r="N25" s="75">
        <f t="shared" si="17"/>
        <v>2012</v>
      </c>
      <c r="O25" s="75">
        <f t="shared" si="17"/>
        <v>2012</v>
      </c>
      <c r="P25" s="75">
        <f t="shared" si="17"/>
        <v>2012</v>
      </c>
      <c r="Q25" s="75">
        <f t="shared" si="17"/>
        <v>2012</v>
      </c>
      <c r="R25" s="75">
        <f t="shared" si="17"/>
        <v>2012</v>
      </c>
      <c r="S25" s="75">
        <f t="shared" si="17"/>
        <v>2012</v>
      </c>
      <c r="T25" s="75">
        <f t="shared" si="17"/>
        <v>2012</v>
      </c>
      <c r="U25" s="75">
        <f t="shared" si="17"/>
        <v>2012</v>
      </c>
      <c r="V25" s="75">
        <f t="shared" si="17"/>
        <v>2012</v>
      </c>
      <c r="W25" s="75">
        <f t="shared" si="17"/>
        <v>2012</v>
      </c>
      <c r="X25" s="75">
        <f t="shared" si="17"/>
        <v>2013</v>
      </c>
      <c r="Y25" s="75">
        <f t="shared" si="17"/>
        <v>2013</v>
      </c>
      <c r="Z25" s="75">
        <f t="shared" si="17"/>
        <v>2013</v>
      </c>
      <c r="AA25" s="75">
        <f t="shared" si="17"/>
        <v>2013</v>
      </c>
      <c r="AB25" s="75">
        <f t="shared" si="17"/>
        <v>2013</v>
      </c>
      <c r="AC25" s="75">
        <f t="shared" si="17"/>
        <v>2013</v>
      </c>
      <c r="AD25" s="75">
        <f t="shared" si="17"/>
        <v>2013</v>
      </c>
      <c r="AE25" s="75">
        <f t="shared" si="17"/>
        <v>2013</v>
      </c>
      <c r="AF25" s="75">
        <f t="shared" si="17"/>
        <v>2013</v>
      </c>
      <c r="AG25" s="75">
        <f t="shared" si="17"/>
        <v>2013</v>
      </c>
      <c r="AH25" s="75">
        <f t="shared" si="17"/>
        <v>2013</v>
      </c>
      <c r="AI25" s="75">
        <f t="shared" si="17"/>
        <v>2013</v>
      </c>
      <c r="AJ25" s="75">
        <f t="shared" si="17"/>
        <v>2014</v>
      </c>
      <c r="AK25" s="75">
        <f t="shared" si="17"/>
        <v>2014</v>
      </c>
      <c r="AL25" s="75">
        <f t="shared" si="17"/>
        <v>2014</v>
      </c>
      <c r="AM25" s="75">
        <f t="shared" si="17"/>
        <v>2014</v>
      </c>
      <c r="AN25" s="75">
        <f t="shared" si="17"/>
        <v>2014</v>
      </c>
      <c r="AO25" s="75">
        <f t="shared" si="17"/>
        <v>2014</v>
      </c>
      <c r="AP25" s="75">
        <f t="shared" si="17"/>
        <v>2014</v>
      </c>
      <c r="AQ25" s="75">
        <f t="shared" si="17"/>
        <v>2014</v>
      </c>
      <c r="AR25" s="75">
        <f t="shared" si="17"/>
        <v>2014</v>
      </c>
      <c r="AS25" s="75">
        <f t="shared" si="17"/>
        <v>2014</v>
      </c>
      <c r="AT25" s="75">
        <f t="shared" si="17"/>
        <v>2014</v>
      </c>
      <c r="AU25" s="75">
        <f t="shared" si="17"/>
        <v>2014</v>
      </c>
      <c r="AV25" s="75">
        <f t="shared" si="17"/>
        <v>2015</v>
      </c>
      <c r="AW25" s="75">
        <f t="shared" si="17"/>
        <v>2015</v>
      </c>
      <c r="AX25" s="75">
        <f t="shared" si="17"/>
        <v>2015</v>
      </c>
      <c r="AY25" s="75">
        <f t="shared" si="17"/>
        <v>2015</v>
      </c>
      <c r="AZ25" s="75">
        <f t="shared" si="17"/>
        <v>2015</v>
      </c>
      <c r="BA25" s="75">
        <f t="shared" si="17"/>
        <v>2015</v>
      </c>
      <c r="BB25" s="75">
        <f t="shared" si="17"/>
        <v>2015</v>
      </c>
      <c r="BC25" s="75">
        <f t="shared" si="17"/>
        <v>2015</v>
      </c>
      <c r="BD25" s="75">
        <f t="shared" si="17"/>
        <v>2015</v>
      </c>
      <c r="BE25" s="75">
        <f t="shared" si="17"/>
        <v>2015</v>
      </c>
      <c r="BF25" s="75">
        <f t="shared" si="17"/>
        <v>2015</v>
      </c>
      <c r="BG25" s="75">
        <f t="shared" si="17"/>
        <v>2015</v>
      </c>
      <c r="BH25" s="75">
        <f t="shared" si="17"/>
        <v>2016</v>
      </c>
      <c r="BI25" s="75">
        <f t="shared" si="17"/>
        <v>2016</v>
      </c>
      <c r="BJ25" s="75">
        <f t="shared" si="17"/>
        <v>2016</v>
      </c>
      <c r="BK25" s="75">
        <f t="shared" si="17"/>
        <v>2016</v>
      </c>
      <c r="BL25" s="75">
        <f t="shared" si="17"/>
        <v>2016</v>
      </c>
      <c r="BM25" s="75">
        <f t="shared" si="17"/>
        <v>2016</v>
      </c>
      <c r="BN25" s="75">
        <f t="shared" si="17"/>
        <v>2016</v>
      </c>
      <c r="BO25" s="75">
        <f t="shared" si="17"/>
        <v>2016</v>
      </c>
      <c r="BP25" s="75">
        <f t="shared" si="17"/>
        <v>2016</v>
      </c>
      <c r="BQ25" s="75">
        <f t="shared" si="17"/>
        <v>2016</v>
      </c>
      <c r="BR25" s="75">
        <f t="shared" si="17"/>
        <v>2016</v>
      </c>
      <c r="BS25" s="75">
        <f t="shared" si="17"/>
        <v>2016</v>
      </c>
      <c r="BT25" s="75">
        <f t="shared" si="17"/>
        <v>2017</v>
      </c>
      <c r="BU25" s="75">
        <f t="shared" si="17"/>
        <v>2017</v>
      </c>
      <c r="BV25" s="75">
        <f xml:space="preserve"> IF(BV24 = 1, $F21, IF(BV23 &gt; (DATE(BU25, $F22 + 1, 1) - 1), BU25 + 1, BU25))</f>
        <v>2017</v>
      </c>
      <c r="BW25" s="75">
        <f xml:space="preserve"> IF(BW24 = 1, $F21, IF(BW23 &gt; (DATE(BV25, $F22 + 1, 1) - 1), BV25 + 1, BV25))</f>
        <v>2017</v>
      </c>
      <c r="BX25" s="75">
        <f xml:space="preserve"> IF(BX24 = 1, $F21, IF(BX23 &gt; (DATE(BW25, $F22 + 1, 1) - 1), BW25 + 1, BW25))</f>
        <v>2017</v>
      </c>
      <c r="BY25" s="75">
        <f xml:space="preserve"> IF(BY24 = 1, $F21, IF(BY23 &gt; (DATE(BX25, $F22 + 1, 1) - 1), BX25 + 1, BX25))</f>
        <v>2017</v>
      </c>
    </row>
    <row r="26" spans="1:77" s="121" customFormat="1" x14ac:dyDescent="0.2">
      <c r="A26" s="117"/>
      <c r="B26" s="117"/>
      <c r="C26" s="120"/>
    </row>
    <row r="27" spans="1:77" s="121" customFormat="1" x14ac:dyDescent="0.2">
      <c r="A27" s="117"/>
      <c r="B27" s="117"/>
      <c r="C27" s="120"/>
    </row>
    <row r="28" spans="1:77" s="121" customFormat="1" x14ac:dyDescent="0.2">
      <c r="A28" s="117" t="s">
        <v>11</v>
      </c>
      <c r="B28" s="117"/>
      <c r="C28" s="120"/>
    </row>
    <row r="29" spans="1:77" s="121" customFormat="1" x14ac:dyDescent="0.2">
      <c r="A29" s="117"/>
      <c r="B29" s="117"/>
      <c r="C29" s="120"/>
    </row>
    <row r="30" spans="1:77" s="121" customFormat="1" x14ac:dyDescent="0.2">
      <c r="A30" s="117"/>
      <c r="B30" s="117" t="s">
        <v>4</v>
      </c>
      <c r="C30" s="120"/>
    </row>
    <row r="31" spans="1:77" s="115" customFormat="1" x14ac:dyDescent="0.2">
      <c r="A31" s="125"/>
      <c r="B31" s="126"/>
      <c r="C31" s="127"/>
      <c r="E31" s="115" t="str">
        <f>InpC!E$13</f>
        <v>Opening balance sheet date</v>
      </c>
      <c r="F31" s="115">
        <f>InpC!F$13</f>
        <v>40694</v>
      </c>
      <c r="G31" s="115" t="str">
        <f>InpC!G$13</f>
        <v>date</v>
      </c>
    </row>
    <row r="32" spans="1:77" s="23" customFormat="1" x14ac:dyDescent="0.2">
      <c r="A32" s="22"/>
      <c r="B32" s="21"/>
      <c r="C32" s="33"/>
      <c r="D32" s="26"/>
      <c r="E32" s="23" t="str">
        <f xml:space="preserve"> E$19</f>
        <v xml:space="preserve">Model period ending </v>
      </c>
      <c r="F32" s="23">
        <f t="shared" ref="F32:BQ32" si="18" xml:space="preserve"> F$19</f>
        <v>0</v>
      </c>
      <c r="G32" s="23" t="str">
        <f t="shared" si="18"/>
        <v>date</v>
      </c>
      <c r="H32" s="23">
        <f t="shared" si="18"/>
        <v>0</v>
      </c>
      <c r="I32" s="23">
        <f t="shared" si="18"/>
        <v>0</v>
      </c>
      <c r="J32" s="23">
        <f t="shared" si="18"/>
        <v>40694</v>
      </c>
      <c r="K32" s="23">
        <f t="shared" si="18"/>
        <v>40724</v>
      </c>
      <c r="L32" s="23">
        <f t="shared" si="18"/>
        <v>40755</v>
      </c>
      <c r="M32" s="23">
        <f t="shared" si="18"/>
        <v>40786</v>
      </c>
      <c r="N32" s="23">
        <f t="shared" si="18"/>
        <v>40816</v>
      </c>
      <c r="O32" s="23">
        <f t="shared" si="18"/>
        <v>40847</v>
      </c>
      <c r="P32" s="23">
        <f t="shared" si="18"/>
        <v>40877</v>
      </c>
      <c r="Q32" s="23">
        <f t="shared" si="18"/>
        <v>40908</v>
      </c>
      <c r="R32" s="23">
        <f t="shared" si="18"/>
        <v>40939</v>
      </c>
      <c r="S32" s="23">
        <f t="shared" si="18"/>
        <v>40968</v>
      </c>
      <c r="T32" s="23">
        <f t="shared" si="18"/>
        <v>40999</v>
      </c>
      <c r="U32" s="23">
        <f t="shared" si="18"/>
        <v>41029</v>
      </c>
      <c r="V32" s="23">
        <f t="shared" si="18"/>
        <v>41060</v>
      </c>
      <c r="W32" s="23">
        <f t="shared" si="18"/>
        <v>41090</v>
      </c>
      <c r="X32" s="23">
        <f t="shared" si="18"/>
        <v>41121</v>
      </c>
      <c r="Y32" s="23">
        <f t="shared" si="18"/>
        <v>41152</v>
      </c>
      <c r="Z32" s="23">
        <f t="shared" si="18"/>
        <v>41182</v>
      </c>
      <c r="AA32" s="23">
        <f t="shared" si="18"/>
        <v>41213</v>
      </c>
      <c r="AB32" s="23">
        <f t="shared" si="18"/>
        <v>41243</v>
      </c>
      <c r="AC32" s="23">
        <f t="shared" si="18"/>
        <v>41274</v>
      </c>
      <c r="AD32" s="23">
        <f t="shared" si="18"/>
        <v>41305</v>
      </c>
      <c r="AE32" s="23">
        <f t="shared" si="18"/>
        <v>41333</v>
      </c>
      <c r="AF32" s="23">
        <f t="shared" si="18"/>
        <v>41364</v>
      </c>
      <c r="AG32" s="23">
        <f t="shared" si="18"/>
        <v>41394</v>
      </c>
      <c r="AH32" s="23">
        <f t="shared" si="18"/>
        <v>41425</v>
      </c>
      <c r="AI32" s="23">
        <f t="shared" si="18"/>
        <v>41455</v>
      </c>
      <c r="AJ32" s="23">
        <f t="shared" si="18"/>
        <v>41486</v>
      </c>
      <c r="AK32" s="23">
        <f t="shared" si="18"/>
        <v>41517</v>
      </c>
      <c r="AL32" s="23">
        <f t="shared" si="18"/>
        <v>41547</v>
      </c>
      <c r="AM32" s="23">
        <f t="shared" si="18"/>
        <v>41578</v>
      </c>
      <c r="AN32" s="23">
        <f t="shared" si="18"/>
        <v>41608</v>
      </c>
      <c r="AO32" s="23">
        <f t="shared" si="18"/>
        <v>41639</v>
      </c>
      <c r="AP32" s="23">
        <f t="shared" si="18"/>
        <v>41670</v>
      </c>
      <c r="AQ32" s="23">
        <f t="shared" si="18"/>
        <v>41698</v>
      </c>
      <c r="AR32" s="23">
        <f t="shared" si="18"/>
        <v>41729</v>
      </c>
      <c r="AS32" s="23">
        <f t="shared" si="18"/>
        <v>41759</v>
      </c>
      <c r="AT32" s="23">
        <f t="shared" si="18"/>
        <v>41790</v>
      </c>
      <c r="AU32" s="23">
        <f t="shared" si="18"/>
        <v>41820</v>
      </c>
      <c r="AV32" s="23">
        <f t="shared" si="18"/>
        <v>41851</v>
      </c>
      <c r="AW32" s="23">
        <f t="shared" si="18"/>
        <v>41882</v>
      </c>
      <c r="AX32" s="23">
        <f t="shared" si="18"/>
        <v>41912</v>
      </c>
      <c r="AY32" s="23">
        <f t="shared" si="18"/>
        <v>41943</v>
      </c>
      <c r="AZ32" s="23">
        <f t="shared" si="18"/>
        <v>41973</v>
      </c>
      <c r="BA32" s="23">
        <f t="shared" si="18"/>
        <v>42004</v>
      </c>
      <c r="BB32" s="23">
        <f t="shared" si="18"/>
        <v>42035</v>
      </c>
      <c r="BC32" s="23">
        <f t="shared" si="18"/>
        <v>42063</v>
      </c>
      <c r="BD32" s="23">
        <f t="shared" si="18"/>
        <v>42094</v>
      </c>
      <c r="BE32" s="23">
        <f t="shared" si="18"/>
        <v>42124</v>
      </c>
      <c r="BF32" s="23">
        <f t="shared" si="18"/>
        <v>42155</v>
      </c>
      <c r="BG32" s="23">
        <f t="shared" si="18"/>
        <v>42185</v>
      </c>
      <c r="BH32" s="23">
        <f t="shared" si="18"/>
        <v>42216</v>
      </c>
      <c r="BI32" s="23">
        <f t="shared" si="18"/>
        <v>42247</v>
      </c>
      <c r="BJ32" s="23">
        <f t="shared" si="18"/>
        <v>42277</v>
      </c>
      <c r="BK32" s="23">
        <f t="shared" si="18"/>
        <v>42308</v>
      </c>
      <c r="BL32" s="23">
        <f t="shared" si="18"/>
        <v>42338</v>
      </c>
      <c r="BM32" s="23">
        <f t="shared" si="18"/>
        <v>42369</v>
      </c>
      <c r="BN32" s="23">
        <f t="shared" si="18"/>
        <v>42400</v>
      </c>
      <c r="BO32" s="23">
        <f t="shared" si="18"/>
        <v>42429</v>
      </c>
      <c r="BP32" s="23">
        <f t="shared" si="18"/>
        <v>42460</v>
      </c>
      <c r="BQ32" s="23">
        <f t="shared" si="18"/>
        <v>42490</v>
      </c>
      <c r="BR32" s="23">
        <f t="shared" ref="BR32:BY32" si="19" xml:space="preserve"> BR$19</f>
        <v>42521</v>
      </c>
      <c r="BS32" s="23">
        <f t="shared" si="19"/>
        <v>42551</v>
      </c>
      <c r="BT32" s="23">
        <f t="shared" si="19"/>
        <v>42582</v>
      </c>
      <c r="BU32" s="23">
        <f t="shared" si="19"/>
        <v>42613</v>
      </c>
      <c r="BV32" s="23">
        <f t="shared" si="19"/>
        <v>42643</v>
      </c>
      <c r="BW32" s="23">
        <f t="shared" si="19"/>
        <v>42674</v>
      </c>
      <c r="BX32" s="23">
        <f t="shared" si="19"/>
        <v>42704</v>
      </c>
      <c r="BY32" s="23">
        <f t="shared" si="19"/>
        <v>42735</v>
      </c>
    </row>
    <row r="33" spans="1:77" s="99" customFormat="1" x14ac:dyDescent="0.2">
      <c r="A33" s="5"/>
      <c r="B33" s="11"/>
      <c r="C33" s="97"/>
      <c r="D33" s="98"/>
      <c r="E33" s="99" t="s">
        <v>4</v>
      </c>
      <c r="G33" s="99" t="s">
        <v>16</v>
      </c>
      <c r="H33" s="99">
        <f>SUM(J33:BY33)</f>
        <v>1</v>
      </c>
      <c r="J33" s="99">
        <f t="shared" ref="J33:AO33" si="20" xml:space="preserve"> IF(J32 = $F31, 1, 0)</f>
        <v>1</v>
      </c>
      <c r="K33" s="99">
        <f t="shared" si="20"/>
        <v>0</v>
      </c>
      <c r="L33" s="99">
        <f xml:space="preserve"> IF(L32 = $F31, 1, 0)</f>
        <v>0</v>
      </c>
      <c r="M33" s="99">
        <f t="shared" si="20"/>
        <v>0</v>
      </c>
      <c r="N33" s="99">
        <f t="shared" si="20"/>
        <v>0</v>
      </c>
      <c r="O33" s="99">
        <f t="shared" si="20"/>
        <v>0</v>
      </c>
      <c r="P33" s="99">
        <f t="shared" si="20"/>
        <v>0</v>
      </c>
      <c r="Q33" s="99">
        <f t="shared" si="20"/>
        <v>0</v>
      </c>
      <c r="R33" s="99">
        <f t="shared" si="20"/>
        <v>0</v>
      </c>
      <c r="S33" s="99">
        <f t="shared" si="20"/>
        <v>0</v>
      </c>
      <c r="T33" s="99">
        <f t="shared" si="20"/>
        <v>0</v>
      </c>
      <c r="U33" s="99">
        <f t="shared" si="20"/>
        <v>0</v>
      </c>
      <c r="V33" s="99">
        <f t="shared" si="20"/>
        <v>0</v>
      </c>
      <c r="W33" s="99">
        <f t="shared" si="20"/>
        <v>0</v>
      </c>
      <c r="X33" s="99">
        <f t="shared" si="20"/>
        <v>0</v>
      </c>
      <c r="Y33" s="99">
        <f t="shared" si="20"/>
        <v>0</v>
      </c>
      <c r="Z33" s="99">
        <f t="shared" si="20"/>
        <v>0</v>
      </c>
      <c r="AA33" s="99">
        <f t="shared" si="20"/>
        <v>0</v>
      </c>
      <c r="AB33" s="99">
        <f t="shared" si="20"/>
        <v>0</v>
      </c>
      <c r="AC33" s="99">
        <f t="shared" si="20"/>
        <v>0</v>
      </c>
      <c r="AD33" s="99">
        <f t="shared" si="20"/>
        <v>0</v>
      </c>
      <c r="AE33" s="99">
        <f t="shared" si="20"/>
        <v>0</v>
      </c>
      <c r="AF33" s="99">
        <f t="shared" si="20"/>
        <v>0</v>
      </c>
      <c r="AG33" s="99">
        <f t="shared" si="20"/>
        <v>0</v>
      </c>
      <c r="AH33" s="99">
        <f t="shared" si="20"/>
        <v>0</v>
      </c>
      <c r="AI33" s="99">
        <f t="shared" si="20"/>
        <v>0</v>
      </c>
      <c r="AJ33" s="99">
        <f t="shared" si="20"/>
        <v>0</v>
      </c>
      <c r="AK33" s="99">
        <f t="shared" si="20"/>
        <v>0</v>
      </c>
      <c r="AL33" s="99">
        <f t="shared" si="20"/>
        <v>0</v>
      </c>
      <c r="AM33" s="99">
        <f t="shared" si="20"/>
        <v>0</v>
      </c>
      <c r="AN33" s="99">
        <f t="shared" si="20"/>
        <v>0</v>
      </c>
      <c r="AO33" s="99">
        <f t="shared" si="20"/>
        <v>0</v>
      </c>
      <c r="AP33" s="99">
        <f t="shared" ref="AP33:BU33" si="21" xml:space="preserve"> IF(AP32 = $F31, 1, 0)</f>
        <v>0</v>
      </c>
      <c r="AQ33" s="99">
        <f t="shared" si="21"/>
        <v>0</v>
      </c>
      <c r="AR33" s="99">
        <f t="shared" si="21"/>
        <v>0</v>
      </c>
      <c r="AS33" s="99">
        <f t="shared" si="21"/>
        <v>0</v>
      </c>
      <c r="AT33" s="99">
        <f t="shared" si="21"/>
        <v>0</v>
      </c>
      <c r="AU33" s="99">
        <f t="shared" si="21"/>
        <v>0</v>
      </c>
      <c r="AV33" s="99">
        <f t="shared" si="21"/>
        <v>0</v>
      </c>
      <c r="AW33" s="99">
        <f t="shared" si="21"/>
        <v>0</v>
      </c>
      <c r="AX33" s="99">
        <f t="shared" si="21"/>
        <v>0</v>
      </c>
      <c r="AY33" s="99">
        <f t="shared" si="21"/>
        <v>0</v>
      </c>
      <c r="AZ33" s="99">
        <f t="shared" si="21"/>
        <v>0</v>
      </c>
      <c r="BA33" s="99">
        <f t="shared" si="21"/>
        <v>0</v>
      </c>
      <c r="BB33" s="99">
        <f t="shared" si="21"/>
        <v>0</v>
      </c>
      <c r="BC33" s="99">
        <f t="shared" si="21"/>
        <v>0</v>
      </c>
      <c r="BD33" s="99">
        <f t="shared" si="21"/>
        <v>0</v>
      </c>
      <c r="BE33" s="99">
        <f t="shared" si="21"/>
        <v>0</v>
      </c>
      <c r="BF33" s="99">
        <f t="shared" si="21"/>
        <v>0</v>
      </c>
      <c r="BG33" s="99">
        <f t="shared" si="21"/>
        <v>0</v>
      </c>
      <c r="BH33" s="99">
        <f t="shared" si="21"/>
        <v>0</v>
      </c>
      <c r="BI33" s="99">
        <f t="shared" si="21"/>
        <v>0</v>
      </c>
      <c r="BJ33" s="99">
        <f t="shared" si="21"/>
        <v>0</v>
      </c>
      <c r="BK33" s="99">
        <f t="shared" si="21"/>
        <v>0</v>
      </c>
      <c r="BL33" s="99">
        <f t="shared" si="21"/>
        <v>0</v>
      </c>
      <c r="BM33" s="99">
        <f t="shared" si="21"/>
        <v>0</v>
      </c>
      <c r="BN33" s="99">
        <f t="shared" si="21"/>
        <v>0</v>
      </c>
      <c r="BO33" s="99">
        <f t="shared" si="21"/>
        <v>0</v>
      </c>
      <c r="BP33" s="99">
        <f t="shared" si="21"/>
        <v>0</v>
      </c>
      <c r="BQ33" s="99">
        <f t="shared" si="21"/>
        <v>0</v>
      </c>
      <c r="BR33" s="99">
        <f t="shared" si="21"/>
        <v>0</v>
      </c>
      <c r="BS33" s="99">
        <f t="shared" si="21"/>
        <v>0</v>
      </c>
      <c r="BT33" s="99">
        <f t="shared" si="21"/>
        <v>0</v>
      </c>
      <c r="BU33" s="99">
        <f t="shared" si="21"/>
        <v>0</v>
      </c>
      <c r="BV33" s="99">
        <f xml:space="preserve"> IF(BV32 = $F31, 1, 0)</f>
        <v>0</v>
      </c>
      <c r="BW33" s="99">
        <f xml:space="preserve"> IF(BW32 = $F31, 1, 0)</f>
        <v>0</v>
      </c>
      <c r="BX33" s="99">
        <f xml:space="preserve"> IF(BX32 = $F31, 1, 0)</f>
        <v>0</v>
      </c>
      <c r="BY33" s="99">
        <f xml:space="preserve"> IF(BY32 = $F31, 1, 0)</f>
        <v>0</v>
      </c>
    </row>
    <row r="34" spans="1:77" s="13" customFormat="1" x14ac:dyDescent="0.2">
      <c r="A34" s="5"/>
      <c r="B34" s="11"/>
      <c r="C34" s="6"/>
      <c r="D34" s="12"/>
    </row>
    <row r="35" spans="1:77" s="13" customFormat="1" x14ac:dyDescent="0.2">
      <c r="A35" s="5"/>
      <c r="B35" s="11" t="s">
        <v>19</v>
      </c>
      <c r="C35" s="6"/>
      <c r="D35" s="12"/>
    </row>
    <row r="36" spans="1:77" s="113" customFormat="1" x14ac:dyDescent="0.2">
      <c r="A36" s="110"/>
      <c r="B36" s="110"/>
      <c r="C36" s="111"/>
      <c r="D36" s="112"/>
      <c r="E36" s="113" t="str">
        <f xml:space="preserve"> InpC!E$13</f>
        <v>Opening balance sheet date</v>
      </c>
      <c r="F36" s="107">
        <f xml:space="preserve"> InpC!F$13</f>
        <v>40694</v>
      </c>
      <c r="G36" s="113" t="str">
        <f xml:space="preserve"> InpC!G$13</f>
        <v>date</v>
      </c>
    </row>
    <row r="37" spans="1:77" s="124" customFormat="1" x14ac:dyDescent="0.2">
      <c r="A37" s="122"/>
      <c r="B37" s="122"/>
      <c r="C37" s="123"/>
      <c r="E37" s="124" t="str">
        <f xml:space="preserve"> InpC!E$14</f>
        <v>Length of forecast period</v>
      </c>
      <c r="F37" s="124">
        <f xml:space="preserve"> InpC!F$14</f>
        <v>5</v>
      </c>
      <c r="G37" s="124" t="str">
        <f xml:space="preserve"> InpC!G$14</f>
        <v>years</v>
      </c>
    </row>
    <row r="38" spans="1:77" s="36" customFormat="1" x14ac:dyDescent="0.2">
      <c r="A38" s="22"/>
      <c r="B38" s="22"/>
      <c r="C38" s="37"/>
      <c r="D38" s="38"/>
      <c r="E38" s="36" t="s">
        <v>7</v>
      </c>
      <c r="F38" s="31">
        <f xml:space="preserve"> DATE(YEAR(F36) + F37, MONTH(F36), DAY(F36))</f>
        <v>42521</v>
      </c>
      <c r="G38" s="36" t="s">
        <v>17</v>
      </c>
    </row>
    <row r="39" spans="1:77" s="121" customFormat="1" x14ac:dyDescent="0.2">
      <c r="A39" s="117"/>
      <c r="B39" s="117"/>
      <c r="C39" s="120"/>
    </row>
    <row r="40" spans="1:77" s="107" customFormat="1" x14ac:dyDescent="0.2">
      <c r="A40" s="103"/>
      <c r="B40" s="104"/>
      <c r="C40" s="105"/>
      <c r="D40" s="106"/>
      <c r="E40" s="107" t="str">
        <f xml:space="preserve"> InpC!E$13</f>
        <v>Opening balance sheet date</v>
      </c>
      <c r="F40" s="107">
        <f xml:space="preserve"> InpC!F$13</f>
        <v>40694</v>
      </c>
      <c r="G40" s="107" t="str">
        <f xml:space="preserve"> InpC!G$13</f>
        <v>date</v>
      </c>
    </row>
    <row r="41" spans="1:77" s="78" customFormat="1" x14ac:dyDescent="0.2">
      <c r="A41" s="25"/>
      <c r="B41" s="25"/>
      <c r="C41" s="29"/>
      <c r="D41" s="77"/>
      <c r="E41" s="78" t="str">
        <f xml:space="preserve"> E$38</f>
        <v>Last forecast date</v>
      </c>
      <c r="F41" s="78">
        <f xml:space="preserve"> F$38</f>
        <v>42521</v>
      </c>
      <c r="G41" s="78" t="str">
        <f xml:space="preserve"> G$38</f>
        <v>date</v>
      </c>
    </row>
    <row r="42" spans="1:77" s="23" customFormat="1" x14ac:dyDescent="0.2">
      <c r="A42" s="22"/>
      <c r="B42" s="21"/>
      <c r="C42" s="33"/>
      <c r="D42" s="26"/>
      <c r="E42" s="23" t="str">
        <f xml:space="preserve"> E$19</f>
        <v xml:space="preserve">Model period ending </v>
      </c>
      <c r="F42" s="23">
        <f t="shared" ref="F42:BQ42" si="22" xml:space="preserve"> F$19</f>
        <v>0</v>
      </c>
      <c r="G42" s="23" t="str">
        <f t="shared" si="22"/>
        <v>date</v>
      </c>
      <c r="H42" s="23">
        <f t="shared" si="22"/>
        <v>0</v>
      </c>
      <c r="I42" s="23">
        <f t="shared" si="22"/>
        <v>0</v>
      </c>
      <c r="J42" s="23">
        <f t="shared" si="22"/>
        <v>40694</v>
      </c>
      <c r="K42" s="23">
        <f t="shared" si="22"/>
        <v>40724</v>
      </c>
      <c r="L42" s="23">
        <f t="shared" si="22"/>
        <v>40755</v>
      </c>
      <c r="M42" s="23">
        <f t="shared" si="22"/>
        <v>40786</v>
      </c>
      <c r="N42" s="23">
        <f t="shared" si="22"/>
        <v>40816</v>
      </c>
      <c r="O42" s="23">
        <f t="shared" si="22"/>
        <v>40847</v>
      </c>
      <c r="P42" s="23">
        <f t="shared" si="22"/>
        <v>40877</v>
      </c>
      <c r="Q42" s="23">
        <f t="shared" si="22"/>
        <v>40908</v>
      </c>
      <c r="R42" s="23">
        <f t="shared" si="22"/>
        <v>40939</v>
      </c>
      <c r="S42" s="23">
        <f t="shared" si="22"/>
        <v>40968</v>
      </c>
      <c r="T42" s="23">
        <f t="shared" si="22"/>
        <v>40999</v>
      </c>
      <c r="U42" s="23">
        <f t="shared" si="22"/>
        <v>41029</v>
      </c>
      <c r="V42" s="23">
        <f t="shared" si="22"/>
        <v>41060</v>
      </c>
      <c r="W42" s="23">
        <f t="shared" si="22"/>
        <v>41090</v>
      </c>
      <c r="X42" s="23">
        <f t="shared" si="22"/>
        <v>41121</v>
      </c>
      <c r="Y42" s="23">
        <f t="shared" si="22"/>
        <v>41152</v>
      </c>
      <c r="Z42" s="23">
        <f t="shared" si="22"/>
        <v>41182</v>
      </c>
      <c r="AA42" s="23">
        <f t="shared" si="22"/>
        <v>41213</v>
      </c>
      <c r="AB42" s="23">
        <f t="shared" si="22"/>
        <v>41243</v>
      </c>
      <c r="AC42" s="23">
        <f t="shared" si="22"/>
        <v>41274</v>
      </c>
      <c r="AD42" s="23">
        <f t="shared" si="22"/>
        <v>41305</v>
      </c>
      <c r="AE42" s="23">
        <f t="shared" si="22"/>
        <v>41333</v>
      </c>
      <c r="AF42" s="23">
        <f t="shared" si="22"/>
        <v>41364</v>
      </c>
      <c r="AG42" s="23">
        <f t="shared" si="22"/>
        <v>41394</v>
      </c>
      <c r="AH42" s="23">
        <f t="shared" si="22"/>
        <v>41425</v>
      </c>
      <c r="AI42" s="23">
        <f t="shared" si="22"/>
        <v>41455</v>
      </c>
      <c r="AJ42" s="23">
        <f t="shared" si="22"/>
        <v>41486</v>
      </c>
      <c r="AK42" s="23">
        <f t="shared" si="22"/>
        <v>41517</v>
      </c>
      <c r="AL42" s="23">
        <f t="shared" si="22"/>
        <v>41547</v>
      </c>
      <c r="AM42" s="23">
        <f t="shared" si="22"/>
        <v>41578</v>
      </c>
      <c r="AN42" s="23">
        <f t="shared" si="22"/>
        <v>41608</v>
      </c>
      <c r="AO42" s="23">
        <f t="shared" si="22"/>
        <v>41639</v>
      </c>
      <c r="AP42" s="23">
        <f t="shared" si="22"/>
        <v>41670</v>
      </c>
      <c r="AQ42" s="23">
        <f t="shared" si="22"/>
        <v>41698</v>
      </c>
      <c r="AR42" s="23">
        <f t="shared" si="22"/>
        <v>41729</v>
      </c>
      <c r="AS42" s="23">
        <f t="shared" si="22"/>
        <v>41759</v>
      </c>
      <c r="AT42" s="23">
        <f t="shared" si="22"/>
        <v>41790</v>
      </c>
      <c r="AU42" s="23">
        <f t="shared" si="22"/>
        <v>41820</v>
      </c>
      <c r="AV42" s="23">
        <f t="shared" si="22"/>
        <v>41851</v>
      </c>
      <c r="AW42" s="23">
        <f t="shared" si="22"/>
        <v>41882</v>
      </c>
      <c r="AX42" s="23">
        <f t="shared" si="22"/>
        <v>41912</v>
      </c>
      <c r="AY42" s="23">
        <f t="shared" si="22"/>
        <v>41943</v>
      </c>
      <c r="AZ42" s="23">
        <f t="shared" si="22"/>
        <v>41973</v>
      </c>
      <c r="BA42" s="23">
        <f t="shared" si="22"/>
        <v>42004</v>
      </c>
      <c r="BB42" s="23">
        <f t="shared" si="22"/>
        <v>42035</v>
      </c>
      <c r="BC42" s="23">
        <f t="shared" si="22"/>
        <v>42063</v>
      </c>
      <c r="BD42" s="23">
        <f t="shared" si="22"/>
        <v>42094</v>
      </c>
      <c r="BE42" s="23">
        <f t="shared" si="22"/>
        <v>42124</v>
      </c>
      <c r="BF42" s="23">
        <f t="shared" si="22"/>
        <v>42155</v>
      </c>
      <c r="BG42" s="23">
        <f t="shared" si="22"/>
        <v>42185</v>
      </c>
      <c r="BH42" s="23">
        <f t="shared" si="22"/>
        <v>42216</v>
      </c>
      <c r="BI42" s="23">
        <f t="shared" si="22"/>
        <v>42247</v>
      </c>
      <c r="BJ42" s="23">
        <f t="shared" si="22"/>
        <v>42277</v>
      </c>
      <c r="BK42" s="23">
        <f t="shared" si="22"/>
        <v>42308</v>
      </c>
      <c r="BL42" s="23">
        <f t="shared" si="22"/>
        <v>42338</v>
      </c>
      <c r="BM42" s="23">
        <f t="shared" si="22"/>
        <v>42369</v>
      </c>
      <c r="BN42" s="23">
        <f t="shared" si="22"/>
        <v>42400</v>
      </c>
      <c r="BO42" s="23">
        <f t="shared" si="22"/>
        <v>42429</v>
      </c>
      <c r="BP42" s="23">
        <f t="shared" si="22"/>
        <v>42460</v>
      </c>
      <c r="BQ42" s="23">
        <f t="shared" si="22"/>
        <v>42490</v>
      </c>
      <c r="BR42" s="23">
        <f t="shared" ref="BR42:BY42" si="23" xml:space="preserve"> BR$19</f>
        <v>42521</v>
      </c>
      <c r="BS42" s="23">
        <f t="shared" si="23"/>
        <v>42551</v>
      </c>
      <c r="BT42" s="23">
        <f t="shared" si="23"/>
        <v>42582</v>
      </c>
      <c r="BU42" s="23">
        <f t="shared" si="23"/>
        <v>42613</v>
      </c>
      <c r="BV42" s="23">
        <f t="shared" si="23"/>
        <v>42643</v>
      </c>
      <c r="BW42" s="23">
        <f t="shared" si="23"/>
        <v>42674</v>
      </c>
      <c r="BX42" s="23">
        <f t="shared" si="23"/>
        <v>42704</v>
      </c>
      <c r="BY42" s="23">
        <f t="shared" si="23"/>
        <v>42735</v>
      </c>
    </row>
    <row r="43" spans="1:77" s="99" customFormat="1" x14ac:dyDescent="0.2">
      <c r="A43" s="5"/>
      <c r="B43" s="11"/>
      <c r="C43" s="97"/>
      <c r="D43" s="98"/>
      <c r="E43" s="99" t="s">
        <v>19</v>
      </c>
      <c r="G43" s="99" t="s">
        <v>16</v>
      </c>
      <c r="H43" s="99">
        <f>SUM(J43:BY43)</f>
        <v>60</v>
      </c>
      <c r="J43" s="99">
        <f xml:space="preserve"> IF(AND(J42 &gt; $F40, J42 &lt;=$F41), 1, 0)</f>
        <v>0</v>
      </c>
      <c r="K43" s="99">
        <f t="shared" ref="K43:BV43" si="24" xml:space="preserve"> IF(AND(K42 &gt; $F40, K42 &lt;=$F41), 1, 0)</f>
        <v>1</v>
      </c>
      <c r="L43" s="99">
        <f t="shared" si="24"/>
        <v>1</v>
      </c>
      <c r="M43" s="99">
        <f t="shared" si="24"/>
        <v>1</v>
      </c>
      <c r="N43" s="99">
        <f t="shared" si="24"/>
        <v>1</v>
      </c>
      <c r="O43" s="99">
        <f t="shared" si="24"/>
        <v>1</v>
      </c>
      <c r="P43" s="99">
        <f t="shared" si="24"/>
        <v>1</v>
      </c>
      <c r="Q43" s="99">
        <f t="shared" si="24"/>
        <v>1</v>
      </c>
      <c r="R43" s="99">
        <f t="shared" si="24"/>
        <v>1</v>
      </c>
      <c r="S43" s="99">
        <f t="shared" si="24"/>
        <v>1</v>
      </c>
      <c r="T43" s="99">
        <f t="shared" si="24"/>
        <v>1</v>
      </c>
      <c r="U43" s="99">
        <f t="shared" si="24"/>
        <v>1</v>
      </c>
      <c r="V43" s="99">
        <f t="shared" si="24"/>
        <v>1</v>
      </c>
      <c r="W43" s="99">
        <f t="shared" si="24"/>
        <v>1</v>
      </c>
      <c r="X43" s="99">
        <f t="shared" si="24"/>
        <v>1</v>
      </c>
      <c r="Y43" s="99">
        <f t="shared" si="24"/>
        <v>1</v>
      </c>
      <c r="Z43" s="99">
        <f t="shared" si="24"/>
        <v>1</v>
      </c>
      <c r="AA43" s="99">
        <f t="shared" si="24"/>
        <v>1</v>
      </c>
      <c r="AB43" s="99">
        <f t="shared" si="24"/>
        <v>1</v>
      </c>
      <c r="AC43" s="99">
        <f t="shared" si="24"/>
        <v>1</v>
      </c>
      <c r="AD43" s="99">
        <f t="shared" si="24"/>
        <v>1</v>
      </c>
      <c r="AE43" s="99">
        <f t="shared" si="24"/>
        <v>1</v>
      </c>
      <c r="AF43" s="99">
        <f t="shared" si="24"/>
        <v>1</v>
      </c>
      <c r="AG43" s="99">
        <f t="shared" si="24"/>
        <v>1</v>
      </c>
      <c r="AH43" s="99">
        <f t="shared" si="24"/>
        <v>1</v>
      </c>
      <c r="AI43" s="99">
        <f t="shared" si="24"/>
        <v>1</v>
      </c>
      <c r="AJ43" s="99">
        <f t="shared" si="24"/>
        <v>1</v>
      </c>
      <c r="AK43" s="99">
        <f t="shared" si="24"/>
        <v>1</v>
      </c>
      <c r="AL43" s="99">
        <f t="shared" si="24"/>
        <v>1</v>
      </c>
      <c r="AM43" s="99">
        <f t="shared" si="24"/>
        <v>1</v>
      </c>
      <c r="AN43" s="99">
        <f t="shared" si="24"/>
        <v>1</v>
      </c>
      <c r="AO43" s="99">
        <f t="shared" si="24"/>
        <v>1</v>
      </c>
      <c r="AP43" s="99">
        <f t="shared" si="24"/>
        <v>1</v>
      </c>
      <c r="AQ43" s="99">
        <f t="shared" si="24"/>
        <v>1</v>
      </c>
      <c r="AR43" s="99">
        <f t="shared" si="24"/>
        <v>1</v>
      </c>
      <c r="AS43" s="99">
        <f t="shared" si="24"/>
        <v>1</v>
      </c>
      <c r="AT43" s="99">
        <f t="shared" si="24"/>
        <v>1</v>
      </c>
      <c r="AU43" s="99">
        <f t="shared" si="24"/>
        <v>1</v>
      </c>
      <c r="AV43" s="99">
        <f t="shared" si="24"/>
        <v>1</v>
      </c>
      <c r="AW43" s="99">
        <f t="shared" si="24"/>
        <v>1</v>
      </c>
      <c r="AX43" s="99">
        <f t="shared" si="24"/>
        <v>1</v>
      </c>
      <c r="AY43" s="99">
        <f t="shared" si="24"/>
        <v>1</v>
      </c>
      <c r="AZ43" s="99">
        <f t="shared" si="24"/>
        <v>1</v>
      </c>
      <c r="BA43" s="99">
        <f t="shared" si="24"/>
        <v>1</v>
      </c>
      <c r="BB43" s="99">
        <f t="shared" si="24"/>
        <v>1</v>
      </c>
      <c r="BC43" s="99">
        <f t="shared" si="24"/>
        <v>1</v>
      </c>
      <c r="BD43" s="99">
        <f t="shared" si="24"/>
        <v>1</v>
      </c>
      <c r="BE43" s="99">
        <f t="shared" si="24"/>
        <v>1</v>
      </c>
      <c r="BF43" s="99">
        <f t="shared" si="24"/>
        <v>1</v>
      </c>
      <c r="BG43" s="99">
        <f t="shared" si="24"/>
        <v>1</v>
      </c>
      <c r="BH43" s="99">
        <f t="shared" si="24"/>
        <v>1</v>
      </c>
      <c r="BI43" s="99">
        <f t="shared" si="24"/>
        <v>1</v>
      </c>
      <c r="BJ43" s="99">
        <f t="shared" si="24"/>
        <v>1</v>
      </c>
      <c r="BK43" s="99">
        <f t="shared" si="24"/>
        <v>1</v>
      </c>
      <c r="BL43" s="99">
        <f t="shared" si="24"/>
        <v>1</v>
      </c>
      <c r="BM43" s="99">
        <f t="shared" si="24"/>
        <v>1</v>
      </c>
      <c r="BN43" s="99">
        <f t="shared" si="24"/>
        <v>1</v>
      </c>
      <c r="BO43" s="99">
        <f t="shared" si="24"/>
        <v>1</v>
      </c>
      <c r="BP43" s="99">
        <f t="shared" si="24"/>
        <v>1</v>
      </c>
      <c r="BQ43" s="99">
        <f t="shared" si="24"/>
        <v>1</v>
      </c>
      <c r="BR43" s="99">
        <f t="shared" si="24"/>
        <v>1</v>
      </c>
      <c r="BS43" s="99">
        <f t="shared" si="24"/>
        <v>0</v>
      </c>
      <c r="BT43" s="99">
        <f t="shared" si="24"/>
        <v>0</v>
      </c>
      <c r="BU43" s="99">
        <f t="shared" si="24"/>
        <v>0</v>
      </c>
      <c r="BV43" s="99">
        <f t="shared" si="24"/>
        <v>0</v>
      </c>
      <c r="BW43" s="99">
        <f xml:space="preserve"> IF(AND(BW42 &gt; $F40, BW42 &lt;=$F41), 1, 0)</f>
        <v>0</v>
      </c>
      <c r="BX43" s="99">
        <f xml:space="preserve"> IF(AND(BX42 &gt; $F40, BX42 &lt;=$F41), 1, 0)</f>
        <v>0</v>
      </c>
      <c r="BY43" s="99">
        <f xml:space="preserve"> IF(AND(BY42 &gt; $F40, BY42 &lt;=$F41), 1, 0)</f>
        <v>0</v>
      </c>
    </row>
    <row r="44" spans="1:77" s="13" customFormat="1" x14ac:dyDescent="0.2">
      <c r="A44" s="5"/>
      <c r="B44" s="11"/>
      <c r="C44" s="6"/>
      <c r="D44" s="12"/>
    </row>
    <row r="45" spans="1:77" s="13" customFormat="1" x14ac:dyDescent="0.2">
      <c r="A45" s="5"/>
      <c r="B45" s="11" t="s">
        <v>9</v>
      </c>
      <c r="C45" s="6"/>
      <c r="D45" s="12"/>
    </row>
    <row r="46" spans="1:77" s="78" customFormat="1" x14ac:dyDescent="0.2">
      <c r="A46" s="25"/>
      <c r="B46" s="25"/>
      <c r="C46" s="29"/>
      <c r="D46" s="77"/>
      <c r="E46" s="78" t="str">
        <f xml:space="preserve"> E$38</f>
        <v>Last forecast date</v>
      </c>
      <c r="F46" s="78">
        <f xml:space="preserve"> F$38</f>
        <v>42521</v>
      </c>
      <c r="G46" s="78" t="str">
        <f xml:space="preserve"> G$38</f>
        <v>date</v>
      </c>
    </row>
    <row r="47" spans="1:77" s="23" customFormat="1" x14ac:dyDescent="0.2">
      <c r="A47" s="22"/>
      <c r="B47" s="21"/>
      <c r="C47" s="33"/>
      <c r="D47" s="26"/>
      <c r="E47" s="23" t="str">
        <f xml:space="preserve"> E$19</f>
        <v xml:space="preserve">Model period ending </v>
      </c>
      <c r="F47" s="23">
        <f t="shared" ref="F47:BQ47" si="25" xml:space="preserve"> F$19</f>
        <v>0</v>
      </c>
      <c r="G47" s="23" t="str">
        <f t="shared" si="25"/>
        <v>date</v>
      </c>
      <c r="H47" s="23">
        <f t="shared" si="25"/>
        <v>0</v>
      </c>
      <c r="I47" s="23">
        <f t="shared" si="25"/>
        <v>0</v>
      </c>
      <c r="J47" s="23">
        <f t="shared" si="25"/>
        <v>40694</v>
      </c>
      <c r="K47" s="23">
        <f t="shared" si="25"/>
        <v>40724</v>
      </c>
      <c r="L47" s="23">
        <f t="shared" si="25"/>
        <v>40755</v>
      </c>
      <c r="M47" s="23">
        <f t="shared" si="25"/>
        <v>40786</v>
      </c>
      <c r="N47" s="23">
        <f t="shared" si="25"/>
        <v>40816</v>
      </c>
      <c r="O47" s="23">
        <f t="shared" si="25"/>
        <v>40847</v>
      </c>
      <c r="P47" s="23">
        <f t="shared" si="25"/>
        <v>40877</v>
      </c>
      <c r="Q47" s="23">
        <f t="shared" si="25"/>
        <v>40908</v>
      </c>
      <c r="R47" s="23">
        <f t="shared" si="25"/>
        <v>40939</v>
      </c>
      <c r="S47" s="23">
        <f t="shared" si="25"/>
        <v>40968</v>
      </c>
      <c r="T47" s="23">
        <f t="shared" si="25"/>
        <v>40999</v>
      </c>
      <c r="U47" s="23">
        <f t="shared" si="25"/>
        <v>41029</v>
      </c>
      <c r="V47" s="23">
        <f t="shared" si="25"/>
        <v>41060</v>
      </c>
      <c r="W47" s="23">
        <f t="shared" si="25"/>
        <v>41090</v>
      </c>
      <c r="X47" s="23">
        <f t="shared" si="25"/>
        <v>41121</v>
      </c>
      <c r="Y47" s="23">
        <f t="shared" si="25"/>
        <v>41152</v>
      </c>
      <c r="Z47" s="23">
        <f t="shared" si="25"/>
        <v>41182</v>
      </c>
      <c r="AA47" s="23">
        <f t="shared" si="25"/>
        <v>41213</v>
      </c>
      <c r="AB47" s="23">
        <f t="shared" si="25"/>
        <v>41243</v>
      </c>
      <c r="AC47" s="23">
        <f t="shared" si="25"/>
        <v>41274</v>
      </c>
      <c r="AD47" s="23">
        <f t="shared" si="25"/>
        <v>41305</v>
      </c>
      <c r="AE47" s="23">
        <f t="shared" si="25"/>
        <v>41333</v>
      </c>
      <c r="AF47" s="23">
        <f t="shared" si="25"/>
        <v>41364</v>
      </c>
      <c r="AG47" s="23">
        <f t="shared" si="25"/>
        <v>41394</v>
      </c>
      <c r="AH47" s="23">
        <f t="shared" si="25"/>
        <v>41425</v>
      </c>
      <c r="AI47" s="23">
        <f t="shared" si="25"/>
        <v>41455</v>
      </c>
      <c r="AJ47" s="23">
        <f t="shared" si="25"/>
        <v>41486</v>
      </c>
      <c r="AK47" s="23">
        <f t="shared" si="25"/>
        <v>41517</v>
      </c>
      <c r="AL47" s="23">
        <f t="shared" si="25"/>
        <v>41547</v>
      </c>
      <c r="AM47" s="23">
        <f t="shared" si="25"/>
        <v>41578</v>
      </c>
      <c r="AN47" s="23">
        <f t="shared" si="25"/>
        <v>41608</v>
      </c>
      <c r="AO47" s="23">
        <f t="shared" si="25"/>
        <v>41639</v>
      </c>
      <c r="AP47" s="23">
        <f t="shared" si="25"/>
        <v>41670</v>
      </c>
      <c r="AQ47" s="23">
        <f t="shared" si="25"/>
        <v>41698</v>
      </c>
      <c r="AR47" s="23">
        <f t="shared" si="25"/>
        <v>41729</v>
      </c>
      <c r="AS47" s="23">
        <f t="shared" si="25"/>
        <v>41759</v>
      </c>
      <c r="AT47" s="23">
        <f t="shared" si="25"/>
        <v>41790</v>
      </c>
      <c r="AU47" s="23">
        <f t="shared" si="25"/>
        <v>41820</v>
      </c>
      <c r="AV47" s="23">
        <f t="shared" si="25"/>
        <v>41851</v>
      </c>
      <c r="AW47" s="23">
        <f t="shared" si="25"/>
        <v>41882</v>
      </c>
      <c r="AX47" s="23">
        <f t="shared" si="25"/>
        <v>41912</v>
      </c>
      <c r="AY47" s="23">
        <f t="shared" si="25"/>
        <v>41943</v>
      </c>
      <c r="AZ47" s="23">
        <f t="shared" si="25"/>
        <v>41973</v>
      </c>
      <c r="BA47" s="23">
        <f t="shared" si="25"/>
        <v>42004</v>
      </c>
      <c r="BB47" s="23">
        <f t="shared" si="25"/>
        <v>42035</v>
      </c>
      <c r="BC47" s="23">
        <f t="shared" si="25"/>
        <v>42063</v>
      </c>
      <c r="BD47" s="23">
        <f t="shared" si="25"/>
        <v>42094</v>
      </c>
      <c r="BE47" s="23">
        <f t="shared" si="25"/>
        <v>42124</v>
      </c>
      <c r="BF47" s="23">
        <f t="shared" si="25"/>
        <v>42155</v>
      </c>
      <c r="BG47" s="23">
        <f t="shared" si="25"/>
        <v>42185</v>
      </c>
      <c r="BH47" s="23">
        <f t="shared" si="25"/>
        <v>42216</v>
      </c>
      <c r="BI47" s="23">
        <f t="shared" si="25"/>
        <v>42247</v>
      </c>
      <c r="BJ47" s="23">
        <f t="shared" si="25"/>
        <v>42277</v>
      </c>
      <c r="BK47" s="23">
        <f t="shared" si="25"/>
        <v>42308</v>
      </c>
      <c r="BL47" s="23">
        <f t="shared" si="25"/>
        <v>42338</v>
      </c>
      <c r="BM47" s="23">
        <f t="shared" si="25"/>
        <v>42369</v>
      </c>
      <c r="BN47" s="23">
        <f t="shared" si="25"/>
        <v>42400</v>
      </c>
      <c r="BO47" s="23">
        <f t="shared" si="25"/>
        <v>42429</v>
      </c>
      <c r="BP47" s="23">
        <f t="shared" si="25"/>
        <v>42460</v>
      </c>
      <c r="BQ47" s="23">
        <f t="shared" si="25"/>
        <v>42490</v>
      </c>
      <c r="BR47" s="23">
        <f t="shared" ref="BR47:BY47" si="26" xml:space="preserve"> BR$19</f>
        <v>42521</v>
      </c>
      <c r="BS47" s="23">
        <f t="shared" si="26"/>
        <v>42551</v>
      </c>
      <c r="BT47" s="23">
        <f t="shared" si="26"/>
        <v>42582</v>
      </c>
      <c r="BU47" s="23">
        <f t="shared" si="26"/>
        <v>42613</v>
      </c>
      <c r="BV47" s="23">
        <f t="shared" si="26"/>
        <v>42643</v>
      </c>
      <c r="BW47" s="23">
        <f t="shared" si="26"/>
        <v>42674</v>
      </c>
      <c r="BX47" s="23">
        <f t="shared" si="26"/>
        <v>42704</v>
      </c>
      <c r="BY47" s="23">
        <f t="shared" si="26"/>
        <v>42735</v>
      </c>
    </row>
    <row r="48" spans="1:77" s="102" customFormat="1" x14ac:dyDescent="0.2">
      <c r="A48" s="100"/>
      <c r="B48" s="100"/>
      <c r="C48" s="101"/>
      <c r="E48" s="102" t="s">
        <v>9</v>
      </c>
      <c r="F48" s="100"/>
      <c r="G48" s="102" t="s">
        <v>16</v>
      </c>
      <c r="H48" s="102">
        <f>SUM(J48:BY48)</f>
        <v>1</v>
      </c>
      <c r="J48" s="102">
        <f xml:space="preserve"> IF(J47 = $F46, 1, 0)</f>
        <v>0</v>
      </c>
      <c r="K48" s="102">
        <f t="shared" ref="K48:BV48" si="27" xml:space="preserve"> IF(K47 = $F46, 1, 0)</f>
        <v>0</v>
      </c>
      <c r="L48" s="102">
        <f t="shared" si="27"/>
        <v>0</v>
      </c>
      <c r="M48" s="102">
        <f t="shared" si="27"/>
        <v>0</v>
      </c>
      <c r="N48" s="102">
        <f t="shared" si="27"/>
        <v>0</v>
      </c>
      <c r="O48" s="102">
        <f t="shared" si="27"/>
        <v>0</v>
      </c>
      <c r="P48" s="102">
        <f t="shared" si="27"/>
        <v>0</v>
      </c>
      <c r="Q48" s="102">
        <f t="shared" si="27"/>
        <v>0</v>
      </c>
      <c r="R48" s="102">
        <f t="shared" si="27"/>
        <v>0</v>
      </c>
      <c r="S48" s="102">
        <f t="shared" si="27"/>
        <v>0</v>
      </c>
      <c r="T48" s="102">
        <f t="shared" si="27"/>
        <v>0</v>
      </c>
      <c r="U48" s="102">
        <f t="shared" si="27"/>
        <v>0</v>
      </c>
      <c r="V48" s="102">
        <f t="shared" si="27"/>
        <v>0</v>
      </c>
      <c r="W48" s="102">
        <f t="shared" si="27"/>
        <v>0</v>
      </c>
      <c r="X48" s="102">
        <f t="shared" si="27"/>
        <v>0</v>
      </c>
      <c r="Y48" s="102">
        <f t="shared" si="27"/>
        <v>0</v>
      </c>
      <c r="Z48" s="102">
        <f t="shared" si="27"/>
        <v>0</v>
      </c>
      <c r="AA48" s="102">
        <f t="shared" si="27"/>
        <v>0</v>
      </c>
      <c r="AB48" s="102">
        <f t="shared" si="27"/>
        <v>0</v>
      </c>
      <c r="AC48" s="102">
        <f t="shared" si="27"/>
        <v>0</v>
      </c>
      <c r="AD48" s="102">
        <f t="shared" si="27"/>
        <v>0</v>
      </c>
      <c r="AE48" s="102">
        <f t="shared" si="27"/>
        <v>0</v>
      </c>
      <c r="AF48" s="102">
        <f t="shared" si="27"/>
        <v>0</v>
      </c>
      <c r="AG48" s="102">
        <f t="shared" si="27"/>
        <v>0</v>
      </c>
      <c r="AH48" s="102">
        <f t="shared" si="27"/>
        <v>0</v>
      </c>
      <c r="AI48" s="102">
        <f t="shared" si="27"/>
        <v>0</v>
      </c>
      <c r="AJ48" s="102">
        <f t="shared" si="27"/>
        <v>0</v>
      </c>
      <c r="AK48" s="102">
        <f t="shared" si="27"/>
        <v>0</v>
      </c>
      <c r="AL48" s="102">
        <f t="shared" si="27"/>
        <v>0</v>
      </c>
      <c r="AM48" s="102">
        <f t="shared" si="27"/>
        <v>0</v>
      </c>
      <c r="AN48" s="102">
        <f t="shared" si="27"/>
        <v>0</v>
      </c>
      <c r="AO48" s="102">
        <f t="shared" si="27"/>
        <v>0</v>
      </c>
      <c r="AP48" s="102">
        <f t="shared" si="27"/>
        <v>0</v>
      </c>
      <c r="AQ48" s="102">
        <f t="shared" si="27"/>
        <v>0</v>
      </c>
      <c r="AR48" s="102">
        <f t="shared" si="27"/>
        <v>0</v>
      </c>
      <c r="AS48" s="102">
        <f t="shared" si="27"/>
        <v>0</v>
      </c>
      <c r="AT48" s="102">
        <f t="shared" si="27"/>
        <v>0</v>
      </c>
      <c r="AU48" s="102">
        <f t="shared" si="27"/>
        <v>0</v>
      </c>
      <c r="AV48" s="102">
        <f t="shared" si="27"/>
        <v>0</v>
      </c>
      <c r="AW48" s="102">
        <f t="shared" si="27"/>
        <v>0</v>
      </c>
      <c r="AX48" s="102">
        <f t="shared" si="27"/>
        <v>0</v>
      </c>
      <c r="AY48" s="102">
        <f t="shared" si="27"/>
        <v>0</v>
      </c>
      <c r="AZ48" s="102">
        <f t="shared" si="27"/>
        <v>0</v>
      </c>
      <c r="BA48" s="102">
        <f t="shared" si="27"/>
        <v>0</v>
      </c>
      <c r="BB48" s="102">
        <f t="shared" si="27"/>
        <v>0</v>
      </c>
      <c r="BC48" s="102">
        <f t="shared" si="27"/>
        <v>0</v>
      </c>
      <c r="BD48" s="102">
        <f t="shared" si="27"/>
        <v>0</v>
      </c>
      <c r="BE48" s="102">
        <f t="shared" si="27"/>
        <v>0</v>
      </c>
      <c r="BF48" s="102">
        <f t="shared" si="27"/>
        <v>0</v>
      </c>
      <c r="BG48" s="102">
        <f t="shared" si="27"/>
        <v>0</v>
      </c>
      <c r="BH48" s="102">
        <f t="shared" si="27"/>
        <v>0</v>
      </c>
      <c r="BI48" s="102">
        <f t="shared" si="27"/>
        <v>0</v>
      </c>
      <c r="BJ48" s="102">
        <f t="shared" si="27"/>
        <v>0</v>
      </c>
      <c r="BK48" s="102">
        <f t="shared" si="27"/>
        <v>0</v>
      </c>
      <c r="BL48" s="102">
        <f t="shared" si="27"/>
        <v>0</v>
      </c>
      <c r="BM48" s="102">
        <f t="shared" si="27"/>
        <v>0</v>
      </c>
      <c r="BN48" s="102">
        <f t="shared" si="27"/>
        <v>0</v>
      </c>
      <c r="BO48" s="102">
        <f t="shared" si="27"/>
        <v>0</v>
      </c>
      <c r="BP48" s="102">
        <f t="shared" si="27"/>
        <v>0</v>
      </c>
      <c r="BQ48" s="102">
        <f t="shared" si="27"/>
        <v>0</v>
      </c>
      <c r="BR48" s="102">
        <f t="shared" si="27"/>
        <v>1</v>
      </c>
      <c r="BS48" s="102">
        <f t="shared" si="27"/>
        <v>0</v>
      </c>
      <c r="BT48" s="102">
        <f t="shared" si="27"/>
        <v>0</v>
      </c>
      <c r="BU48" s="102">
        <f t="shared" si="27"/>
        <v>0</v>
      </c>
      <c r="BV48" s="102">
        <f t="shared" si="27"/>
        <v>0</v>
      </c>
      <c r="BW48" s="102">
        <f xml:space="preserve"> IF(BW47 = $F46, 1, 0)</f>
        <v>0</v>
      </c>
      <c r="BX48" s="102">
        <f xml:space="preserve"> IF(BX47 = $F46, 1, 0)</f>
        <v>0</v>
      </c>
      <c r="BY48" s="102">
        <f xml:space="preserve"> IF(BY47 = $F46, 1, 0)</f>
        <v>0</v>
      </c>
    </row>
    <row r="49" spans="1:77" s="19" customFormat="1" x14ac:dyDescent="0.2">
      <c r="A49" s="5"/>
      <c r="B49" s="5"/>
      <c r="C49" s="17"/>
      <c r="D49" s="18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</row>
    <row r="50" spans="1:77" s="19" customFormat="1" x14ac:dyDescent="0.2">
      <c r="A50" s="5"/>
      <c r="B50" s="5"/>
      <c r="C50" s="17"/>
      <c r="D50" s="18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</row>
    <row r="51" spans="1:77" s="19" customFormat="1" x14ac:dyDescent="0.2">
      <c r="A51" s="5" t="s">
        <v>34</v>
      </c>
      <c r="B51" s="9"/>
      <c r="C51" s="57"/>
      <c r="D51" s="18"/>
      <c r="E51" s="20"/>
      <c r="F51" s="20"/>
      <c r="G51" s="20"/>
      <c r="H51" s="20"/>
      <c r="I51" s="20"/>
      <c r="J51" s="20"/>
      <c r="K51" s="20" t="s">
        <v>26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</row>
    <row r="52" spans="1:77" s="19" customFormat="1" x14ac:dyDescent="0.2">
      <c r="A52" s="5"/>
      <c r="B52" s="9"/>
      <c r="C52" s="57"/>
      <c r="D52" s="18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</row>
    <row r="53" spans="1:77" s="19" customFormat="1" x14ac:dyDescent="0.2">
      <c r="A53" s="5"/>
      <c r="B53" s="9"/>
      <c r="C53" s="57"/>
      <c r="D53" s="18"/>
      <c r="E53" s="20" t="str">
        <f xml:space="preserve"> E$33</f>
        <v>Acquisition / initial balance date flag</v>
      </c>
      <c r="F53" s="20">
        <f t="shared" ref="F53:BQ53" si="28" xml:space="preserve"> F$33</f>
        <v>0</v>
      </c>
      <c r="G53" s="20" t="str">
        <f t="shared" si="28"/>
        <v>flag</v>
      </c>
      <c r="H53" s="20">
        <f t="shared" si="28"/>
        <v>1</v>
      </c>
      <c r="I53" s="20">
        <f t="shared" si="28"/>
        <v>0</v>
      </c>
      <c r="J53" s="20">
        <f t="shared" si="28"/>
        <v>1</v>
      </c>
      <c r="K53" s="20">
        <f t="shared" si="28"/>
        <v>0</v>
      </c>
      <c r="L53" s="20">
        <f t="shared" si="28"/>
        <v>0</v>
      </c>
      <c r="M53" s="20">
        <f t="shared" si="28"/>
        <v>0</v>
      </c>
      <c r="N53" s="20">
        <f t="shared" si="28"/>
        <v>0</v>
      </c>
      <c r="O53" s="20">
        <f t="shared" si="28"/>
        <v>0</v>
      </c>
      <c r="P53" s="20">
        <f t="shared" si="28"/>
        <v>0</v>
      </c>
      <c r="Q53" s="20">
        <f t="shared" si="28"/>
        <v>0</v>
      </c>
      <c r="R53" s="20">
        <f t="shared" si="28"/>
        <v>0</v>
      </c>
      <c r="S53" s="20">
        <f t="shared" si="28"/>
        <v>0</v>
      </c>
      <c r="T53" s="20">
        <f t="shared" si="28"/>
        <v>0</v>
      </c>
      <c r="U53" s="20">
        <f t="shared" si="28"/>
        <v>0</v>
      </c>
      <c r="V53" s="20">
        <f t="shared" si="28"/>
        <v>0</v>
      </c>
      <c r="W53" s="20">
        <f t="shared" si="28"/>
        <v>0</v>
      </c>
      <c r="X53" s="20">
        <f t="shared" si="28"/>
        <v>0</v>
      </c>
      <c r="Y53" s="20">
        <f t="shared" si="28"/>
        <v>0</v>
      </c>
      <c r="Z53" s="20">
        <f t="shared" si="28"/>
        <v>0</v>
      </c>
      <c r="AA53" s="20">
        <f t="shared" si="28"/>
        <v>0</v>
      </c>
      <c r="AB53" s="20">
        <f t="shared" si="28"/>
        <v>0</v>
      </c>
      <c r="AC53" s="20">
        <f t="shared" si="28"/>
        <v>0</v>
      </c>
      <c r="AD53" s="20">
        <f t="shared" si="28"/>
        <v>0</v>
      </c>
      <c r="AE53" s="20">
        <f t="shared" si="28"/>
        <v>0</v>
      </c>
      <c r="AF53" s="20">
        <f t="shared" si="28"/>
        <v>0</v>
      </c>
      <c r="AG53" s="20">
        <f t="shared" si="28"/>
        <v>0</v>
      </c>
      <c r="AH53" s="20">
        <f t="shared" si="28"/>
        <v>0</v>
      </c>
      <c r="AI53" s="20">
        <f t="shared" si="28"/>
        <v>0</v>
      </c>
      <c r="AJ53" s="20">
        <f t="shared" si="28"/>
        <v>0</v>
      </c>
      <c r="AK53" s="20">
        <f t="shared" si="28"/>
        <v>0</v>
      </c>
      <c r="AL53" s="20">
        <f t="shared" si="28"/>
        <v>0</v>
      </c>
      <c r="AM53" s="20">
        <f t="shared" si="28"/>
        <v>0</v>
      </c>
      <c r="AN53" s="20">
        <f t="shared" si="28"/>
        <v>0</v>
      </c>
      <c r="AO53" s="20">
        <f t="shared" si="28"/>
        <v>0</v>
      </c>
      <c r="AP53" s="20">
        <f t="shared" si="28"/>
        <v>0</v>
      </c>
      <c r="AQ53" s="20">
        <f t="shared" si="28"/>
        <v>0</v>
      </c>
      <c r="AR53" s="20">
        <f t="shared" si="28"/>
        <v>0</v>
      </c>
      <c r="AS53" s="20">
        <f t="shared" si="28"/>
        <v>0</v>
      </c>
      <c r="AT53" s="20">
        <f t="shared" si="28"/>
        <v>0</v>
      </c>
      <c r="AU53" s="20">
        <f t="shared" si="28"/>
        <v>0</v>
      </c>
      <c r="AV53" s="20">
        <f t="shared" si="28"/>
        <v>0</v>
      </c>
      <c r="AW53" s="20">
        <f t="shared" si="28"/>
        <v>0</v>
      </c>
      <c r="AX53" s="20">
        <f t="shared" si="28"/>
        <v>0</v>
      </c>
      <c r="AY53" s="20">
        <f t="shared" si="28"/>
        <v>0</v>
      </c>
      <c r="AZ53" s="20">
        <f t="shared" si="28"/>
        <v>0</v>
      </c>
      <c r="BA53" s="20">
        <f t="shared" si="28"/>
        <v>0</v>
      </c>
      <c r="BB53" s="20">
        <f t="shared" si="28"/>
        <v>0</v>
      </c>
      <c r="BC53" s="20">
        <f t="shared" si="28"/>
        <v>0</v>
      </c>
      <c r="BD53" s="20">
        <f t="shared" si="28"/>
        <v>0</v>
      </c>
      <c r="BE53" s="20">
        <f t="shared" si="28"/>
        <v>0</v>
      </c>
      <c r="BF53" s="20">
        <f t="shared" si="28"/>
        <v>0</v>
      </c>
      <c r="BG53" s="20">
        <f t="shared" si="28"/>
        <v>0</v>
      </c>
      <c r="BH53" s="20">
        <f t="shared" si="28"/>
        <v>0</v>
      </c>
      <c r="BI53" s="20">
        <f t="shared" si="28"/>
        <v>0</v>
      </c>
      <c r="BJ53" s="20">
        <f t="shared" si="28"/>
        <v>0</v>
      </c>
      <c r="BK53" s="20">
        <f t="shared" si="28"/>
        <v>0</v>
      </c>
      <c r="BL53" s="20">
        <f t="shared" si="28"/>
        <v>0</v>
      </c>
      <c r="BM53" s="20">
        <f t="shared" si="28"/>
        <v>0</v>
      </c>
      <c r="BN53" s="20">
        <f t="shared" si="28"/>
        <v>0</v>
      </c>
      <c r="BO53" s="20">
        <f t="shared" si="28"/>
        <v>0</v>
      </c>
      <c r="BP53" s="20">
        <f t="shared" si="28"/>
        <v>0</v>
      </c>
      <c r="BQ53" s="20">
        <f t="shared" si="28"/>
        <v>0</v>
      </c>
      <c r="BR53" s="20">
        <f t="shared" ref="BR53:BY53" si="29" xml:space="preserve"> BR$33</f>
        <v>0</v>
      </c>
      <c r="BS53" s="20">
        <f t="shared" si="29"/>
        <v>0</v>
      </c>
      <c r="BT53" s="20">
        <f t="shared" si="29"/>
        <v>0</v>
      </c>
      <c r="BU53" s="20">
        <f t="shared" si="29"/>
        <v>0</v>
      </c>
      <c r="BV53" s="20">
        <f t="shared" si="29"/>
        <v>0</v>
      </c>
      <c r="BW53" s="20">
        <f t="shared" si="29"/>
        <v>0</v>
      </c>
      <c r="BX53" s="20">
        <f t="shared" si="29"/>
        <v>0</v>
      </c>
      <c r="BY53" s="20">
        <f t="shared" si="29"/>
        <v>0</v>
      </c>
    </row>
    <row r="54" spans="1:77" s="19" customFormat="1" x14ac:dyDescent="0.2">
      <c r="A54" s="5"/>
      <c r="B54" s="9"/>
      <c r="C54" s="57"/>
      <c r="D54" s="18"/>
      <c r="E54" s="20" t="str">
        <f xml:space="preserve"> E$43</f>
        <v>Forecast period flag</v>
      </c>
      <c r="F54" s="20">
        <f t="shared" ref="F54:BQ54" si="30" xml:space="preserve"> F$43</f>
        <v>0</v>
      </c>
      <c r="G54" s="20" t="str">
        <f t="shared" si="30"/>
        <v>flag</v>
      </c>
      <c r="H54" s="20">
        <f t="shared" si="30"/>
        <v>60</v>
      </c>
      <c r="I54" s="20">
        <f t="shared" si="30"/>
        <v>0</v>
      </c>
      <c r="J54" s="20">
        <f t="shared" si="30"/>
        <v>0</v>
      </c>
      <c r="K54" s="20">
        <f t="shared" si="30"/>
        <v>1</v>
      </c>
      <c r="L54" s="20">
        <f t="shared" si="30"/>
        <v>1</v>
      </c>
      <c r="M54" s="20">
        <f t="shared" si="30"/>
        <v>1</v>
      </c>
      <c r="N54" s="20">
        <f t="shared" si="30"/>
        <v>1</v>
      </c>
      <c r="O54" s="20">
        <f t="shared" si="30"/>
        <v>1</v>
      </c>
      <c r="P54" s="20">
        <f t="shared" si="30"/>
        <v>1</v>
      </c>
      <c r="Q54" s="20">
        <f t="shared" si="30"/>
        <v>1</v>
      </c>
      <c r="R54" s="20">
        <f t="shared" si="30"/>
        <v>1</v>
      </c>
      <c r="S54" s="20">
        <f t="shared" si="30"/>
        <v>1</v>
      </c>
      <c r="T54" s="20">
        <f t="shared" si="30"/>
        <v>1</v>
      </c>
      <c r="U54" s="20">
        <f t="shared" si="30"/>
        <v>1</v>
      </c>
      <c r="V54" s="20">
        <f t="shared" si="30"/>
        <v>1</v>
      </c>
      <c r="W54" s="20">
        <f t="shared" si="30"/>
        <v>1</v>
      </c>
      <c r="X54" s="20">
        <f t="shared" si="30"/>
        <v>1</v>
      </c>
      <c r="Y54" s="20">
        <f t="shared" si="30"/>
        <v>1</v>
      </c>
      <c r="Z54" s="20">
        <f t="shared" si="30"/>
        <v>1</v>
      </c>
      <c r="AA54" s="20">
        <f t="shared" si="30"/>
        <v>1</v>
      </c>
      <c r="AB54" s="20">
        <f t="shared" si="30"/>
        <v>1</v>
      </c>
      <c r="AC54" s="20">
        <f t="shared" si="30"/>
        <v>1</v>
      </c>
      <c r="AD54" s="20">
        <f t="shared" si="30"/>
        <v>1</v>
      </c>
      <c r="AE54" s="20">
        <f t="shared" si="30"/>
        <v>1</v>
      </c>
      <c r="AF54" s="20">
        <f t="shared" si="30"/>
        <v>1</v>
      </c>
      <c r="AG54" s="20">
        <f t="shared" si="30"/>
        <v>1</v>
      </c>
      <c r="AH54" s="20">
        <f t="shared" si="30"/>
        <v>1</v>
      </c>
      <c r="AI54" s="20">
        <f t="shared" si="30"/>
        <v>1</v>
      </c>
      <c r="AJ54" s="20">
        <f t="shared" si="30"/>
        <v>1</v>
      </c>
      <c r="AK54" s="20">
        <f t="shared" si="30"/>
        <v>1</v>
      </c>
      <c r="AL54" s="20">
        <f t="shared" si="30"/>
        <v>1</v>
      </c>
      <c r="AM54" s="20">
        <f t="shared" si="30"/>
        <v>1</v>
      </c>
      <c r="AN54" s="20">
        <f t="shared" si="30"/>
        <v>1</v>
      </c>
      <c r="AO54" s="20">
        <f t="shared" si="30"/>
        <v>1</v>
      </c>
      <c r="AP54" s="20">
        <f t="shared" si="30"/>
        <v>1</v>
      </c>
      <c r="AQ54" s="20">
        <f t="shared" si="30"/>
        <v>1</v>
      </c>
      <c r="AR54" s="20">
        <f t="shared" si="30"/>
        <v>1</v>
      </c>
      <c r="AS54" s="20">
        <f t="shared" si="30"/>
        <v>1</v>
      </c>
      <c r="AT54" s="20">
        <f t="shared" si="30"/>
        <v>1</v>
      </c>
      <c r="AU54" s="20">
        <f t="shared" si="30"/>
        <v>1</v>
      </c>
      <c r="AV54" s="20">
        <f t="shared" si="30"/>
        <v>1</v>
      </c>
      <c r="AW54" s="20">
        <f t="shared" si="30"/>
        <v>1</v>
      </c>
      <c r="AX54" s="20">
        <f t="shared" si="30"/>
        <v>1</v>
      </c>
      <c r="AY54" s="20">
        <f t="shared" si="30"/>
        <v>1</v>
      </c>
      <c r="AZ54" s="20">
        <f t="shared" si="30"/>
        <v>1</v>
      </c>
      <c r="BA54" s="20">
        <f t="shared" si="30"/>
        <v>1</v>
      </c>
      <c r="BB54" s="20">
        <f t="shared" si="30"/>
        <v>1</v>
      </c>
      <c r="BC54" s="20">
        <f t="shared" si="30"/>
        <v>1</v>
      </c>
      <c r="BD54" s="20">
        <f t="shared" si="30"/>
        <v>1</v>
      </c>
      <c r="BE54" s="20">
        <f t="shared" si="30"/>
        <v>1</v>
      </c>
      <c r="BF54" s="20">
        <f t="shared" si="30"/>
        <v>1</v>
      </c>
      <c r="BG54" s="20">
        <f t="shared" si="30"/>
        <v>1</v>
      </c>
      <c r="BH54" s="20">
        <f t="shared" si="30"/>
        <v>1</v>
      </c>
      <c r="BI54" s="20">
        <f t="shared" si="30"/>
        <v>1</v>
      </c>
      <c r="BJ54" s="20">
        <f t="shared" si="30"/>
        <v>1</v>
      </c>
      <c r="BK54" s="20">
        <f t="shared" si="30"/>
        <v>1</v>
      </c>
      <c r="BL54" s="20">
        <f t="shared" si="30"/>
        <v>1</v>
      </c>
      <c r="BM54" s="20">
        <f t="shared" si="30"/>
        <v>1</v>
      </c>
      <c r="BN54" s="20">
        <f t="shared" si="30"/>
        <v>1</v>
      </c>
      <c r="BO54" s="20">
        <f t="shared" si="30"/>
        <v>1</v>
      </c>
      <c r="BP54" s="20">
        <f t="shared" si="30"/>
        <v>1</v>
      </c>
      <c r="BQ54" s="20">
        <f t="shared" si="30"/>
        <v>1</v>
      </c>
      <c r="BR54" s="20">
        <f t="shared" ref="BR54:BY54" si="31" xml:space="preserve"> BR$43</f>
        <v>1</v>
      </c>
      <c r="BS54" s="20">
        <f t="shared" si="31"/>
        <v>0</v>
      </c>
      <c r="BT54" s="20">
        <f t="shared" si="31"/>
        <v>0</v>
      </c>
      <c r="BU54" s="20">
        <f t="shared" si="31"/>
        <v>0</v>
      </c>
      <c r="BV54" s="20">
        <f t="shared" si="31"/>
        <v>0</v>
      </c>
      <c r="BW54" s="20">
        <f t="shared" si="31"/>
        <v>0</v>
      </c>
      <c r="BX54" s="20">
        <f t="shared" si="31"/>
        <v>0</v>
      </c>
      <c r="BY54" s="20">
        <f t="shared" si="31"/>
        <v>0</v>
      </c>
    </row>
    <row r="55" spans="1:77" s="58" customFormat="1" x14ac:dyDescent="0.2">
      <c r="C55" s="59"/>
      <c r="D55" s="60"/>
      <c r="E55" s="61" t="s">
        <v>44</v>
      </c>
      <c r="F55" s="62"/>
      <c r="G55" s="61" t="s">
        <v>27</v>
      </c>
      <c r="H55" s="62"/>
      <c r="J55" s="27" t="str">
        <f xml:space="preserve"> IF(J53 = 1, "Pre-forecast", IF(J54 = 1, "Forecast", "Post-Frcst"))</f>
        <v>Pre-forecast</v>
      </c>
      <c r="K55" s="27" t="str">
        <f t="shared" ref="K55:BV55" si="32" xml:space="preserve"> IF(K53 = 1, "Pre-forecast", IF(K54 = 1, "Forecast", "Post-Frcst"))</f>
        <v>Forecast</v>
      </c>
      <c r="L55" s="27" t="str">
        <f t="shared" si="32"/>
        <v>Forecast</v>
      </c>
      <c r="M55" s="27" t="str">
        <f t="shared" si="32"/>
        <v>Forecast</v>
      </c>
      <c r="N55" s="27" t="str">
        <f t="shared" si="32"/>
        <v>Forecast</v>
      </c>
      <c r="O55" s="27" t="str">
        <f t="shared" si="32"/>
        <v>Forecast</v>
      </c>
      <c r="P55" s="27" t="str">
        <f t="shared" si="32"/>
        <v>Forecast</v>
      </c>
      <c r="Q55" s="27" t="str">
        <f t="shared" si="32"/>
        <v>Forecast</v>
      </c>
      <c r="R55" s="27" t="str">
        <f t="shared" si="32"/>
        <v>Forecast</v>
      </c>
      <c r="S55" s="27" t="str">
        <f t="shared" si="32"/>
        <v>Forecast</v>
      </c>
      <c r="T55" s="27" t="str">
        <f t="shared" si="32"/>
        <v>Forecast</v>
      </c>
      <c r="U55" s="27" t="str">
        <f t="shared" si="32"/>
        <v>Forecast</v>
      </c>
      <c r="V55" s="27" t="str">
        <f t="shared" si="32"/>
        <v>Forecast</v>
      </c>
      <c r="W55" s="27" t="str">
        <f t="shared" si="32"/>
        <v>Forecast</v>
      </c>
      <c r="X55" s="27" t="str">
        <f t="shared" si="32"/>
        <v>Forecast</v>
      </c>
      <c r="Y55" s="27" t="str">
        <f t="shared" si="32"/>
        <v>Forecast</v>
      </c>
      <c r="Z55" s="27" t="str">
        <f t="shared" si="32"/>
        <v>Forecast</v>
      </c>
      <c r="AA55" s="27" t="str">
        <f t="shared" si="32"/>
        <v>Forecast</v>
      </c>
      <c r="AB55" s="27" t="str">
        <f t="shared" si="32"/>
        <v>Forecast</v>
      </c>
      <c r="AC55" s="27" t="str">
        <f t="shared" si="32"/>
        <v>Forecast</v>
      </c>
      <c r="AD55" s="27" t="str">
        <f t="shared" si="32"/>
        <v>Forecast</v>
      </c>
      <c r="AE55" s="27" t="str">
        <f t="shared" si="32"/>
        <v>Forecast</v>
      </c>
      <c r="AF55" s="27" t="str">
        <f t="shared" si="32"/>
        <v>Forecast</v>
      </c>
      <c r="AG55" s="27" t="str">
        <f t="shared" si="32"/>
        <v>Forecast</v>
      </c>
      <c r="AH55" s="27" t="str">
        <f t="shared" si="32"/>
        <v>Forecast</v>
      </c>
      <c r="AI55" s="27" t="str">
        <f t="shared" si="32"/>
        <v>Forecast</v>
      </c>
      <c r="AJ55" s="27" t="str">
        <f t="shared" si="32"/>
        <v>Forecast</v>
      </c>
      <c r="AK55" s="27" t="str">
        <f t="shared" si="32"/>
        <v>Forecast</v>
      </c>
      <c r="AL55" s="27" t="str">
        <f t="shared" si="32"/>
        <v>Forecast</v>
      </c>
      <c r="AM55" s="27" t="str">
        <f t="shared" si="32"/>
        <v>Forecast</v>
      </c>
      <c r="AN55" s="27" t="str">
        <f t="shared" si="32"/>
        <v>Forecast</v>
      </c>
      <c r="AO55" s="27" t="str">
        <f t="shared" si="32"/>
        <v>Forecast</v>
      </c>
      <c r="AP55" s="27" t="str">
        <f t="shared" si="32"/>
        <v>Forecast</v>
      </c>
      <c r="AQ55" s="27" t="str">
        <f t="shared" si="32"/>
        <v>Forecast</v>
      </c>
      <c r="AR55" s="27" t="str">
        <f t="shared" si="32"/>
        <v>Forecast</v>
      </c>
      <c r="AS55" s="27" t="str">
        <f t="shared" si="32"/>
        <v>Forecast</v>
      </c>
      <c r="AT55" s="27" t="str">
        <f t="shared" si="32"/>
        <v>Forecast</v>
      </c>
      <c r="AU55" s="27" t="str">
        <f t="shared" si="32"/>
        <v>Forecast</v>
      </c>
      <c r="AV55" s="27" t="str">
        <f t="shared" si="32"/>
        <v>Forecast</v>
      </c>
      <c r="AW55" s="27" t="str">
        <f t="shared" si="32"/>
        <v>Forecast</v>
      </c>
      <c r="AX55" s="27" t="str">
        <f t="shared" si="32"/>
        <v>Forecast</v>
      </c>
      <c r="AY55" s="27" t="str">
        <f t="shared" si="32"/>
        <v>Forecast</v>
      </c>
      <c r="AZ55" s="27" t="str">
        <f t="shared" si="32"/>
        <v>Forecast</v>
      </c>
      <c r="BA55" s="27" t="str">
        <f t="shared" si="32"/>
        <v>Forecast</v>
      </c>
      <c r="BB55" s="27" t="str">
        <f t="shared" si="32"/>
        <v>Forecast</v>
      </c>
      <c r="BC55" s="27" t="str">
        <f t="shared" si="32"/>
        <v>Forecast</v>
      </c>
      <c r="BD55" s="27" t="str">
        <f t="shared" si="32"/>
        <v>Forecast</v>
      </c>
      <c r="BE55" s="27" t="str">
        <f t="shared" si="32"/>
        <v>Forecast</v>
      </c>
      <c r="BF55" s="27" t="str">
        <f t="shared" si="32"/>
        <v>Forecast</v>
      </c>
      <c r="BG55" s="27" t="str">
        <f t="shared" si="32"/>
        <v>Forecast</v>
      </c>
      <c r="BH55" s="27" t="str">
        <f t="shared" si="32"/>
        <v>Forecast</v>
      </c>
      <c r="BI55" s="27" t="str">
        <f t="shared" si="32"/>
        <v>Forecast</v>
      </c>
      <c r="BJ55" s="27" t="str">
        <f t="shared" si="32"/>
        <v>Forecast</v>
      </c>
      <c r="BK55" s="27" t="str">
        <f t="shared" si="32"/>
        <v>Forecast</v>
      </c>
      <c r="BL55" s="27" t="str">
        <f t="shared" si="32"/>
        <v>Forecast</v>
      </c>
      <c r="BM55" s="27" t="str">
        <f t="shared" si="32"/>
        <v>Forecast</v>
      </c>
      <c r="BN55" s="27" t="str">
        <f t="shared" si="32"/>
        <v>Forecast</v>
      </c>
      <c r="BO55" s="27" t="str">
        <f t="shared" si="32"/>
        <v>Forecast</v>
      </c>
      <c r="BP55" s="27" t="str">
        <f t="shared" si="32"/>
        <v>Forecast</v>
      </c>
      <c r="BQ55" s="27" t="str">
        <f t="shared" si="32"/>
        <v>Forecast</v>
      </c>
      <c r="BR55" s="27" t="str">
        <f t="shared" si="32"/>
        <v>Forecast</v>
      </c>
      <c r="BS55" s="27" t="str">
        <f t="shared" si="32"/>
        <v>Post-Frcst</v>
      </c>
      <c r="BT55" s="27" t="str">
        <f t="shared" si="32"/>
        <v>Post-Frcst</v>
      </c>
      <c r="BU55" s="27" t="str">
        <f t="shared" si="32"/>
        <v>Post-Frcst</v>
      </c>
      <c r="BV55" s="27" t="str">
        <f t="shared" si="32"/>
        <v>Post-Frcst</v>
      </c>
      <c r="BW55" s="27" t="str">
        <f xml:space="preserve"> IF(BW53 = 1, "Pre-forecast", IF(BW54 = 1, "Forecast", "Post-Frcst"))</f>
        <v>Post-Frcst</v>
      </c>
      <c r="BX55" s="27" t="str">
        <f xml:space="preserve"> IF(BX53 = 1, "Pre-forecast", IF(BX54 = 1, "Forecast", "Post-Frcst"))</f>
        <v>Post-Frcst</v>
      </c>
      <c r="BY55" s="27" t="str">
        <f xml:space="preserve"> IF(BY53 = 1, "Pre-forecast", IF(BY54 = 1, "Forecast", "Post-Frcst"))</f>
        <v>Post-Frcst</v>
      </c>
    </row>
  </sheetData>
  <phoneticPr fontId="2" type="noConversion"/>
  <conditionalFormatting sqref="J3:BY3">
    <cfRule type="cellIs" dxfId="11" priority="5" stopIfTrue="1" operator="equal">
      <formula>"Pre-forecast"</formula>
    </cfRule>
    <cfRule type="cellIs" dxfId="10" priority="6" stopIfTrue="1" operator="equal">
      <formula>"Forecast"</formula>
    </cfRule>
  </conditionalFormatting>
  <conditionalFormatting sqref="F3:F4">
    <cfRule type="cellIs" dxfId="9" priority="1" stopIfTrue="1" operator="notEqual">
      <formula>0</formula>
    </cfRule>
    <cfRule type="cellIs" dxfId="8" priority="2" stopIfTrue="1" operator="equal">
      <formula>""</formula>
    </cfRule>
  </conditionalFormatting>
  <conditionalFormatting sqref="F2">
    <cfRule type="cellIs" dxfId="7" priority="3" stopIfTrue="1" operator="notEqual">
      <formula>0</formula>
    </cfRule>
    <cfRule type="cellIs" dxfId="6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[project name]&amp;C&amp;"Arial,Bold"&amp;14Sheet: &amp;A&amp;R&amp;"Arial,Bold"&amp;14STRICTLY  CONFIDENTIAL</oddHeader>
    <oddFooter>&amp;L&amp;F ( Printed on &amp;D at &amp;T )&amp;RPage &amp;P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3"/>
    <outlinePr summaryBelow="0" summaryRight="0"/>
  </sheetPr>
  <dimension ref="A1:BY37"/>
  <sheetViews>
    <sheetView tabSelected="1" defaultGridColor="0" colorId="22" zoomScale="8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2.75" x14ac:dyDescent="0.2"/>
  <cols>
    <col min="1" max="1" width="1.28515625" style="11" customWidth="1"/>
    <col min="2" max="2" width="1.28515625" style="5" customWidth="1"/>
    <col min="3" max="3" width="1.28515625" style="17" customWidth="1"/>
    <col min="4" max="4" width="1.28515625" style="47" customWidth="1"/>
    <col min="5" max="5" width="40.7109375" style="45" customWidth="1"/>
    <col min="6" max="6" width="12.7109375" style="45" customWidth="1"/>
    <col min="7" max="8" width="11.7109375" style="45" customWidth="1"/>
    <col min="9" max="9" width="2.7109375" style="45" customWidth="1"/>
    <col min="10" max="77" width="11.7109375" style="45" customWidth="1"/>
    <col min="78" max="16384" width="0" style="45" hidden="1"/>
  </cols>
  <sheetData>
    <row r="1" spans="1:77" s="56" customFormat="1" ht="26.25" x14ac:dyDescent="0.2">
      <c r="A1" s="56" t="str">
        <f ca="1" xml:space="preserve"> RIGHT(CELL("filename", A1), LEN(CELL("filename", A1)) - SEARCH("]", CELL("filename", A1)))</f>
        <v>Temp</v>
      </c>
      <c r="B1" s="5"/>
      <c r="C1" s="57"/>
      <c r="D1" s="6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s="58" customFormat="1" x14ac:dyDescent="0.2">
      <c r="C2" s="59"/>
      <c r="D2" s="60"/>
      <c r="E2" s="61" t="str">
        <f xml:space="preserve"> Time!E$19</f>
        <v xml:space="preserve">Model period ending </v>
      </c>
      <c r="F2" s="131"/>
      <c r="G2" s="132" t="s">
        <v>41</v>
      </c>
      <c r="H2" s="62"/>
      <c r="J2" s="58">
        <f xml:space="preserve"> Time!J$19</f>
        <v>40694</v>
      </c>
      <c r="K2" s="58">
        <f xml:space="preserve"> Time!K$19</f>
        <v>40724</v>
      </c>
      <c r="L2" s="58">
        <f xml:space="preserve"> Time!L$19</f>
        <v>40755</v>
      </c>
      <c r="M2" s="58">
        <f xml:space="preserve"> Time!M$19</f>
        <v>40786</v>
      </c>
      <c r="N2" s="58">
        <f xml:space="preserve"> Time!N$19</f>
        <v>40816</v>
      </c>
      <c r="O2" s="58">
        <f xml:space="preserve"> Time!O$19</f>
        <v>40847</v>
      </c>
      <c r="P2" s="58">
        <f xml:space="preserve"> Time!P$19</f>
        <v>40877</v>
      </c>
      <c r="Q2" s="58">
        <f xml:space="preserve"> Time!Q$19</f>
        <v>40908</v>
      </c>
      <c r="R2" s="58">
        <f xml:space="preserve"> Time!R$19</f>
        <v>40939</v>
      </c>
      <c r="S2" s="58">
        <f xml:space="preserve"> Time!S$19</f>
        <v>40968</v>
      </c>
      <c r="T2" s="58">
        <f xml:space="preserve"> Time!T$19</f>
        <v>40999</v>
      </c>
      <c r="U2" s="58">
        <f xml:space="preserve"> Time!U$19</f>
        <v>41029</v>
      </c>
      <c r="V2" s="58">
        <f xml:space="preserve"> Time!V$19</f>
        <v>41060</v>
      </c>
      <c r="W2" s="58">
        <f xml:space="preserve"> Time!W$19</f>
        <v>41090</v>
      </c>
      <c r="X2" s="58">
        <f xml:space="preserve"> Time!X$19</f>
        <v>41121</v>
      </c>
      <c r="Y2" s="58">
        <f xml:space="preserve"> Time!Y$19</f>
        <v>41152</v>
      </c>
      <c r="Z2" s="58">
        <f xml:space="preserve"> Time!Z$19</f>
        <v>41182</v>
      </c>
      <c r="AA2" s="58">
        <f xml:space="preserve"> Time!AA$19</f>
        <v>41213</v>
      </c>
      <c r="AB2" s="58">
        <f xml:space="preserve"> Time!AB$19</f>
        <v>41243</v>
      </c>
      <c r="AC2" s="58">
        <f xml:space="preserve"> Time!AC$19</f>
        <v>41274</v>
      </c>
      <c r="AD2" s="58">
        <f xml:space="preserve"> Time!AD$19</f>
        <v>41305</v>
      </c>
      <c r="AE2" s="58">
        <f xml:space="preserve"> Time!AE$19</f>
        <v>41333</v>
      </c>
      <c r="AF2" s="58">
        <f xml:space="preserve"> Time!AF$19</f>
        <v>41364</v>
      </c>
      <c r="AG2" s="58">
        <f xml:space="preserve"> Time!AG$19</f>
        <v>41394</v>
      </c>
      <c r="AH2" s="58">
        <f xml:space="preserve"> Time!AH$19</f>
        <v>41425</v>
      </c>
      <c r="AI2" s="58">
        <f xml:space="preserve"> Time!AI$19</f>
        <v>41455</v>
      </c>
      <c r="AJ2" s="58">
        <f xml:space="preserve"> Time!AJ$19</f>
        <v>41486</v>
      </c>
      <c r="AK2" s="58">
        <f xml:space="preserve"> Time!AK$19</f>
        <v>41517</v>
      </c>
      <c r="AL2" s="58">
        <f xml:space="preserve"> Time!AL$19</f>
        <v>41547</v>
      </c>
      <c r="AM2" s="58">
        <f xml:space="preserve"> Time!AM$19</f>
        <v>41578</v>
      </c>
      <c r="AN2" s="58">
        <f xml:space="preserve"> Time!AN$19</f>
        <v>41608</v>
      </c>
      <c r="AO2" s="58">
        <f xml:space="preserve"> Time!AO$19</f>
        <v>41639</v>
      </c>
      <c r="AP2" s="58">
        <f xml:space="preserve"> Time!AP$19</f>
        <v>41670</v>
      </c>
      <c r="AQ2" s="58">
        <f xml:space="preserve"> Time!AQ$19</f>
        <v>41698</v>
      </c>
      <c r="AR2" s="58">
        <f xml:space="preserve"> Time!AR$19</f>
        <v>41729</v>
      </c>
      <c r="AS2" s="58">
        <f xml:space="preserve"> Time!AS$19</f>
        <v>41759</v>
      </c>
      <c r="AT2" s="58">
        <f xml:space="preserve"> Time!AT$19</f>
        <v>41790</v>
      </c>
      <c r="AU2" s="58">
        <f xml:space="preserve"> Time!AU$19</f>
        <v>41820</v>
      </c>
      <c r="AV2" s="58">
        <f xml:space="preserve"> Time!AV$19</f>
        <v>41851</v>
      </c>
      <c r="AW2" s="58">
        <f xml:space="preserve"> Time!AW$19</f>
        <v>41882</v>
      </c>
      <c r="AX2" s="58">
        <f xml:space="preserve"> Time!AX$19</f>
        <v>41912</v>
      </c>
      <c r="AY2" s="58">
        <f xml:space="preserve"> Time!AY$19</f>
        <v>41943</v>
      </c>
      <c r="AZ2" s="58">
        <f xml:space="preserve"> Time!AZ$19</f>
        <v>41973</v>
      </c>
      <c r="BA2" s="58">
        <f xml:space="preserve"> Time!BA$19</f>
        <v>42004</v>
      </c>
      <c r="BB2" s="58">
        <f xml:space="preserve"> Time!BB$19</f>
        <v>42035</v>
      </c>
      <c r="BC2" s="58">
        <f xml:space="preserve"> Time!BC$19</f>
        <v>42063</v>
      </c>
      <c r="BD2" s="58">
        <f xml:space="preserve"> Time!BD$19</f>
        <v>42094</v>
      </c>
      <c r="BE2" s="58">
        <f xml:space="preserve"> Time!BE$19</f>
        <v>42124</v>
      </c>
      <c r="BF2" s="58">
        <f xml:space="preserve"> Time!BF$19</f>
        <v>42155</v>
      </c>
      <c r="BG2" s="58">
        <f xml:space="preserve"> Time!BG$19</f>
        <v>42185</v>
      </c>
      <c r="BH2" s="58">
        <f xml:space="preserve"> Time!BH$19</f>
        <v>42216</v>
      </c>
      <c r="BI2" s="58">
        <f xml:space="preserve"> Time!BI$19</f>
        <v>42247</v>
      </c>
      <c r="BJ2" s="58">
        <f xml:space="preserve"> Time!BJ$19</f>
        <v>42277</v>
      </c>
      <c r="BK2" s="58">
        <f xml:space="preserve"> Time!BK$19</f>
        <v>42308</v>
      </c>
      <c r="BL2" s="58">
        <f xml:space="preserve"> Time!BL$19</f>
        <v>42338</v>
      </c>
      <c r="BM2" s="58">
        <f xml:space="preserve"> Time!BM$19</f>
        <v>42369</v>
      </c>
      <c r="BN2" s="58">
        <f xml:space="preserve"> Time!BN$19</f>
        <v>42400</v>
      </c>
      <c r="BO2" s="58">
        <f xml:space="preserve"> Time!BO$19</f>
        <v>42429</v>
      </c>
      <c r="BP2" s="58">
        <f xml:space="preserve"> Time!BP$19</f>
        <v>42460</v>
      </c>
      <c r="BQ2" s="58">
        <f xml:space="preserve"> Time!BQ$19</f>
        <v>42490</v>
      </c>
      <c r="BR2" s="58">
        <f xml:space="preserve"> Time!BR$19</f>
        <v>42521</v>
      </c>
      <c r="BS2" s="58">
        <f xml:space="preserve"> Time!BS$19</f>
        <v>42551</v>
      </c>
      <c r="BT2" s="58">
        <f xml:space="preserve"> Time!BT$19</f>
        <v>42582</v>
      </c>
      <c r="BU2" s="58">
        <f xml:space="preserve"> Time!BU$19</f>
        <v>42613</v>
      </c>
      <c r="BV2" s="58">
        <f xml:space="preserve"> Time!BV$19</f>
        <v>42643</v>
      </c>
      <c r="BW2" s="58">
        <f xml:space="preserve"> Time!BW$19</f>
        <v>42674</v>
      </c>
      <c r="BX2" s="58">
        <f xml:space="preserve"> Time!BX$19</f>
        <v>42704</v>
      </c>
      <c r="BY2" s="58">
        <f xml:space="preserve"> Time!BY$19</f>
        <v>42735</v>
      </c>
    </row>
    <row r="3" spans="1:77" s="58" customFormat="1" x14ac:dyDescent="0.2">
      <c r="C3" s="59"/>
      <c r="D3" s="60"/>
      <c r="E3" s="61" t="str">
        <f ca="1" xml:space="preserve"> Time!E$55</f>
        <v>Pre-forecast Vs forecast</v>
      </c>
      <c r="F3" s="133"/>
      <c r="G3" s="132" t="s">
        <v>42</v>
      </c>
      <c r="H3" s="62"/>
      <c r="J3" s="134" t="str">
        <f xml:space="preserve"> Time!J$55</f>
        <v>Pre-forecast</v>
      </c>
      <c r="K3" s="134" t="str">
        <f xml:space="preserve"> Time!K$55</f>
        <v>Forecast</v>
      </c>
      <c r="L3" s="134" t="str">
        <f xml:space="preserve"> Time!L$55</f>
        <v>Forecast</v>
      </c>
      <c r="M3" s="134" t="str">
        <f xml:space="preserve"> Time!M$55</f>
        <v>Forecast</v>
      </c>
      <c r="N3" s="134" t="str">
        <f xml:space="preserve"> Time!N$55</f>
        <v>Forecast</v>
      </c>
      <c r="O3" s="134" t="str">
        <f xml:space="preserve"> Time!O$55</f>
        <v>Forecast</v>
      </c>
      <c r="P3" s="134" t="str">
        <f xml:space="preserve"> Time!P$55</f>
        <v>Forecast</v>
      </c>
      <c r="Q3" s="134" t="str">
        <f xml:space="preserve"> Time!Q$55</f>
        <v>Forecast</v>
      </c>
      <c r="R3" s="134" t="str">
        <f xml:space="preserve"> Time!R$55</f>
        <v>Forecast</v>
      </c>
      <c r="S3" s="134" t="str">
        <f xml:space="preserve"> Time!S$55</f>
        <v>Forecast</v>
      </c>
      <c r="T3" s="134" t="str">
        <f xml:space="preserve"> Time!T$55</f>
        <v>Forecast</v>
      </c>
      <c r="U3" s="134" t="str">
        <f xml:space="preserve"> Time!U$55</f>
        <v>Forecast</v>
      </c>
      <c r="V3" s="134" t="str">
        <f xml:space="preserve"> Time!V$55</f>
        <v>Forecast</v>
      </c>
      <c r="W3" s="134" t="str">
        <f xml:space="preserve"> Time!W$55</f>
        <v>Forecast</v>
      </c>
      <c r="X3" s="134" t="str">
        <f xml:space="preserve"> Time!X$55</f>
        <v>Forecast</v>
      </c>
      <c r="Y3" s="134" t="str">
        <f xml:space="preserve"> Time!Y$55</f>
        <v>Forecast</v>
      </c>
      <c r="Z3" s="134" t="str">
        <f xml:space="preserve"> Time!Z$55</f>
        <v>Forecast</v>
      </c>
      <c r="AA3" s="134" t="str">
        <f xml:space="preserve"> Time!AA$55</f>
        <v>Forecast</v>
      </c>
      <c r="AB3" s="134" t="str">
        <f xml:space="preserve"> Time!AB$55</f>
        <v>Forecast</v>
      </c>
      <c r="AC3" s="134" t="str">
        <f xml:space="preserve"> Time!AC$55</f>
        <v>Forecast</v>
      </c>
      <c r="AD3" s="134" t="str">
        <f xml:space="preserve"> Time!AD$55</f>
        <v>Forecast</v>
      </c>
      <c r="AE3" s="134" t="str">
        <f xml:space="preserve"> Time!AE$55</f>
        <v>Forecast</v>
      </c>
      <c r="AF3" s="134" t="str">
        <f xml:space="preserve"> Time!AF$55</f>
        <v>Forecast</v>
      </c>
      <c r="AG3" s="134" t="str">
        <f xml:space="preserve"> Time!AG$55</f>
        <v>Forecast</v>
      </c>
      <c r="AH3" s="134" t="str">
        <f xml:space="preserve"> Time!AH$55</f>
        <v>Forecast</v>
      </c>
      <c r="AI3" s="134" t="str">
        <f xml:space="preserve"> Time!AI$55</f>
        <v>Forecast</v>
      </c>
      <c r="AJ3" s="134" t="str">
        <f xml:space="preserve"> Time!AJ$55</f>
        <v>Forecast</v>
      </c>
      <c r="AK3" s="134" t="str">
        <f xml:space="preserve"> Time!AK$55</f>
        <v>Forecast</v>
      </c>
      <c r="AL3" s="134" t="str">
        <f xml:space="preserve"> Time!AL$55</f>
        <v>Forecast</v>
      </c>
      <c r="AM3" s="134" t="str">
        <f xml:space="preserve"> Time!AM$55</f>
        <v>Forecast</v>
      </c>
      <c r="AN3" s="134" t="str">
        <f xml:space="preserve"> Time!AN$55</f>
        <v>Forecast</v>
      </c>
      <c r="AO3" s="134" t="str">
        <f xml:space="preserve"> Time!AO$55</f>
        <v>Forecast</v>
      </c>
      <c r="AP3" s="134" t="str">
        <f xml:space="preserve"> Time!AP$55</f>
        <v>Forecast</v>
      </c>
      <c r="AQ3" s="134" t="str">
        <f xml:space="preserve"> Time!AQ$55</f>
        <v>Forecast</v>
      </c>
      <c r="AR3" s="134" t="str">
        <f xml:space="preserve"> Time!AR$55</f>
        <v>Forecast</v>
      </c>
      <c r="AS3" s="134" t="str">
        <f xml:space="preserve"> Time!AS$55</f>
        <v>Forecast</v>
      </c>
      <c r="AT3" s="134" t="str">
        <f xml:space="preserve"> Time!AT$55</f>
        <v>Forecast</v>
      </c>
      <c r="AU3" s="134" t="str">
        <f xml:space="preserve"> Time!AU$55</f>
        <v>Forecast</v>
      </c>
      <c r="AV3" s="134" t="str">
        <f xml:space="preserve"> Time!AV$55</f>
        <v>Forecast</v>
      </c>
      <c r="AW3" s="134" t="str">
        <f xml:space="preserve"> Time!AW$55</f>
        <v>Forecast</v>
      </c>
      <c r="AX3" s="134" t="str">
        <f xml:space="preserve"> Time!AX$55</f>
        <v>Forecast</v>
      </c>
      <c r="AY3" s="134" t="str">
        <f xml:space="preserve"> Time!AY$55</f>
        <v>Forecast</v>
      </c>
      <c r="AZ3" s="134" t="str">
        <f xml:space="preserve"> Time!AZ$55</f>
        <v>Forecast</v>
      </c>
      <c r="BA3" s="134" t="str">
        <f xml:space="preserve"> Time!BA$55</f>
        <v>Forecast</v>
      </c>
      <c r="BB3" s="134" t="str">
        <f xml:space="preserve"> Time!BB$55</f>
        <v>Forecast</v>
      </c>
      <c r="BC3" s="134" t="str">
        <f xml:space="preserve"> Time!BC$55</f>
        <v>Forecast</v>
      </c>
      <c r="BD3" s="134" t="str">
        <f xml:space="preserve"> Time!BD$55</f>
        <v>Forecast</v>
      </c>
      <c r="BE3" s="134" t="str">
        <f xml:space="preserve"> Time!BE$55</f>
        <v>Forecast</v>
      </c>
      <c r="BF3" s="134" t="str">
        <f xml:space="preserve"> Time!BF$55</f>
        <v>Forecast</v>
      </c>
      <c r="BG3" s="134" t="str">
        <f xml:space="preserve"> Time!BG$55</f>
        <v>Forecast</v>
      </c>
      <c r="BH3" s="134" t="str">
        <f xml:space="preserve"> Time!BH$55</f>
        <v>Forecast</v>
      </c>
      <c r="BI3" s="134" t="str">
        <f xml:space="preserve"> Time!BI$55</f>
        <v>Forecast</v>
      </c>
      <c r="BJ3" s="134" t="str">
        <f xml:space="preserve"> Time!BJ$55</f>
        <v>Forecast</v>
      </c>
      <c r="BK3" s="134" t="str">
        <f xml:space="preserve"> Time!BK$55</f>
        <v>Forecast</v>
      </c>
      <c r="BL3" s="134" t="str">
        <f xml:space="preserve"> Time!BL$55</f>
        <v>Forecast</v>
      </c>
      <c r="BM3" s="134" t="str">
        <f xml:space="preserve"> Time!BM$55</f>
        <v>Forecast</v>
      </c>
      <c r="BN3" s="134" t="str">
        <f xml:space="preserve"> Time!BN$55</f>
        <v>Forecast</v>
      </c>
      <c r="BO3" s="134" t="str">
        <f xml:space="preserve"> Time!BO$55</f>
        <v>Forecast</v>
      </c>
      <c r="BP3" s="134" t="str">
        <f xml:space="preserve"> Time!BP$55</f>
        <v>Forecast</v>
      </c>
      <c r="BQ3" s="134" t="str">
        <f xml:space="preserve"> Time!BQ$55</f>
        <v>Forecast</v>
      </c>
      <c r="BR3" s="134" t="str">
        <f xml:space="preserve"> Time!BR$55</f>
        <v>Forecast</v>
      </c>
      <c r="BS3" s="134" t="str">
        <f xml:space="preserve"> Time!BS$55</f>
        <v>Post-Frcst</v>
      </c>
      <c r="BT3" s="134" t="str">
        <f xml:space="preserve"> Time!BT$55</f>
        <v>Post-Frcst</v>
      </c>
      <c r="BU3" s="134" t="str">
        <f xml:space="preserve"> Time!BU$55</f>
        <v>Post-Frcst</v>
      </c>
      <c r="BV3" s="134" t="str">
        <f xml:space="preserve"> Time!BV$55</f>
        <v>Post-Frcst</v>
      </c>
      <c r="BW3" s="134" t="str">
        <f xml:space="preserve"> Time!BW$55</f>
        <v>Post-Frcst</v>
      </c>
      <c r="BX3" s="134" t="str">
        <f xml:space="preserve"> Time!BX$55</f>
        <v>Post-Frcst</v>
      </c>
      <c r="BY3" s="134" t="str">
        <f xml:space="preserve"> Time!BY$55</f>
        <v>Post-Frcst</v>
      </c>
    </row>
    <row r="4" spans="1:77" s="73" customFormat="1" x14ac:dyDescent="0.2">
      <c r="A4" s="69"/>
      <c r="B4" s="70"/>
      <c r="C4" s="71"/>
      <c r="D4" s="72"/>
      <c r="E4" s="61" t="str">
        <f xml:space="preserve"> Time!E$25</f>
        <v>Financial year ending</v>
      </c>
      <c r="F4" s="133"/>
      <c r="G4" s="132" t="s">
        <v>43</v>
      </c>
      <c r="J4" s="128">
        <f xml:space="preserve"> Time!J$25</f>
        <v>2011</v>
      </c>
      <c r="K4" s="128">
        <f xml:space="preserve"> Time!K$25</f>
        <v>2011</v>
      </c>
      <c r="L4" s="128">
        <f xml:space="preserve"> Time!L$25</f>
        <v>2012</v>
      </c>
      <c r="M4" s="128">
        <f xml:space="preserve"> Time!M$25</f>
        <v>2012</v>
      </c>
      <c r="N4" s="128">
        <f xml:space="preserve"> Time!N$25</f>
        <v>2012</v>
      </c>
      <c r="O4" s="128">
        <f xml:space="preserve"> Time!O$25</f>
        <v>2012</v>
      </c>
      <c r="P4" s="128">
        <f xml:space="preserve"> Time!P$25</f>
        <v>2012</v>
      </c>
      <c r="Q4" s="128">
        <f xml:space="preserve"> Time!Q$25</f>
        <v>2012</v>
      </c>
      <c r="R4" s="128">
        <f xml:space="preserve"> Time!R$25</f>
        <v>2012</v>
      </c>
      <c r="S4" s="128">
        <f xml:space="preserve"> Time!S$25</f>
        <v>2012</v>
      </c>
      <c r="T4" s="128">
        <f xml:space="preserve"> Time!T$25</f>
        <v>2012</v>
      </c>
      <c r="U4" s="128">
        <f xml:space="preserve"> Time!U$25</f>
        <v>2012</v>
      </c>
      <c r="V4" s="128">
        <f xml:space="preserve"> Time!V$25</f>
        <v>2012</v>
      </c>
      <c r="W4" s="128">
        <f xml:space="preserve"> Time!W$25</f>
        <v>2012</v>
      </c>
      <c r="X4" s="128">
        <f xml:space="preserve"> Time!X$25</f>
        <v>2013</v>
      </c>
      <c r="Y4" s="128">
        <f xml:space="preserve"> Time!Y$25</f>
        <v>2013</v>
      </c>
      <c r="Z4" s="128">
        <f xml:space="preserve"> Time!Z$25</f>
        <v>2013</v>
      </c>
      <c r="AA4" s="128">
        <f xml:space="preserve"> Time!AA$25</f>
        <v>2013</v>
      </c>
      <c r="AB4" s="128">
        <f xml:space="preserve"> Time!AB$25</f>
        <v>2013</v>
      </c>
      <c r="AC4" s="128">
        <f xml:space="preserve"> Time!AC$25</f>
        <v>2013</v>
      </c>
      <c r="AD4" s="128">
        <f xml:space="preserve"> Time!AD$25</f>
        <v>2013</v>
      </c>
      <c r="AE4" s="128">
        <f xml:space="preserve"> Time!AE$25</f>
        <v>2013</v>
      </c>
      <c r="AF4" s="128">
        <f xml:space="preserve"> Time!AF$25</f>
        <v>2013</v>
      </c>
      <c r="AG4" s="128">
        <f xml:space="preserve"> Time!AG$25</f>
        <v>2013</v>
      </c>
      <c r="AH4" s="128">
        <f xml:space="preserve"> Time!AH$25</f>
        <v>2013</v>
      </c>
      <c r="AI4" s="128">
        <f xml:space="preserve"> Time!AI$25</f>
        <v>2013</v>
      </c>
      <c r="AJ4" s="128">
        <f xml:space="preserve"> Time!AJ$25</f>
        <v>2014</v>
      </c>
      <c r="AK4" s="128">
        <f xml:space="preserve"> Time!AK$25</f>
        <v>2014</v>
      </c>
      <c r="AL4" s="128">
        <f xml:space="preserve"> Time!AL$25</f>
        <v>2014</v>
      </c>
      <c r="AM4" s="128">
        <f xml:space="preserve"> Time!AM$25</f>
        <v>2014</v>
      </c>
      <c r="AN4" s="128">
        <f xml:space="preserve"> Time!AN$25</f>
        <v>2014</v>
      </c>
      <c r="AO4" s="128">
        <f xml:space="preserve"> Time!AO$25</f>
        <v>2014</v>
      </c>
      <c r="AP4" s="128">
        <f xml:space="preserve"> Time!AP$25</f>
        <v>2014</v>
      </c>
      <c r="AQ4" s="128">
        <f xml:space="preserve"> Time!AQ$25</f>
        <v>2014</v>
      </c>
      <c r="AR4" s="128">
        <f xml:space="preserve"> Time!AR$25</f>
        <v>2014</v>
      </c>
      <c r="AS4" s="128">
        <f xml:space="preserve"> Time!AS$25</f>
        <v>2014</v>
      </c>
      <c r="AT4" s="128">
        <f xml:space="preserve"> Time!AT$25</f>
        <v>2014</v>
      </c>
      <c r="AU4" s="128">
        <f xml:space="preserve"> Time!AU$25</f>
        <v>2014</v>
      </c>
      <c r="AV4" s="128">
        <f xml:space="preserve"> Time!AV$25</f>
        <v>2015</v>
      </c>
      <c r="AW4" s="128">
        <f xml:space="preserve"> Time!AW$25</f>
        <v>2015</v>
      </c>
      <c r="AX4" s="128">
        <f xml:space="preserve"> Time!AX$25</f>
        <v>2015</v>
      </c>
      <c r="AY4" s="128">
        <f xml:space="preserve"> Time!AY$25</f>
        <v>2015</v>
      </c>
      <c r="AZ4" s="128">
        <f xml:space="preserve"> Time!AZ$25</f>
        <v>2015</v>
      </c>
      <c r="BA4" s="128">
        <f xml:space="preserve"> Time!BA$25</f>
        <v>2015</v>
      </c>
      <c r="BB4" s="128">
        <f xml:space="preserve"> Time!BB$25</f>
        <v>2015</v>
      </c>
      <c r="BC4" s="128">
        <f xml:space="preserve"> Time!BC$25</f>
        <v>2015</v>
      </c>
      <c r="BD4" s="128">
        <f xml:space="preserve"> Time!BD$25</f>
        <v>2015</v>
      </c>
      <c r="BE4" s="128">
        <f xml:space="preserve"> Time!BE$25</f>
        <v>2015</v>
      </c>
      <c r="BF4" s="128">
        <f xml:space="preserve"> Time!BF$25</f>
        <v>2015</v>
      </c>
      <c r="BG4" s="128">
        <f xml:space="preserve"> Time!BG$25</f>
        <v>2015</v>
      </c>
      <c r="BH4" s="128">
        <f xml:space="preserve"> Time!BH$25</f>
        <v>2016</v>
      </c>
      <c r="BI4" s="128">
        <f xml:space="preserve"> Time!BI$25</f>
        <v>2016</v>
      </c>
      <c r="BJ4" s="128">
        <f xml:space="preserve"> Time!BJ$25</f>
        <v>2016</v>
      </c>
      <c r="BK4" s="128">
        <f xml:space="preserve"> Time!BK$25</f>
        <v>2016</v>
      </c>
      <c r="BL4" s="128">
        <f xml:space="preserve"> Time!BL$25</f>
        <v>2016</v>
      </c>
      <c r="BM4" s="128">
        <f xml:space="preserve"> Time!BM$25</f>
        <v>2016</v>
      </c>
      <c r="BN4" s="128">
        <f xml:space="preserve"> Time!BN$25</f>
        <v>2016</v>
      </c>
      <c r="BO4" s="128">
        <f xml:space="preserve"> Time!BO$25</f>
        <v>2016</v>
      </c>
      <c r="BP4" s="128">
        <f xml:space="preserve"> Time!BP$25</f>
        <v>2016</v>
      </c>
      <c r="BQ4" s="128">
        <f xml:space="preserve"> Time!BQ$25</f>
        <v>2016</v>
      </c>
      <c r="BR4" s="128">
        <f xml:space="preserve"> Time!BR$25</f>
        <v>2016</v>
      </c>
      <c r="BS4" s="128">
        <f xml:space="preserve"> Time!BS$25</f>
        <v>2016</v>
      </c>
      <c r="BT4" s="128">
        <f xml:space="preserve"> Time!BT$25</f>
        <v>2017</v>
      </c>
      <c r="BU4" s="128">
        <f xml:space="preserve"> Time!BU$25</f>
        <v>2017</v>
      </c>
      <c r="BV4" s="128">
        <f xml:space="preserve"> Time!BV$25</f>
        <v>2017</v>
      </c>
      <c r="BW4" s="128">
        <f xml:space="preserve"> Time!BW$25</f>
        <v>2017</v>
      </c>
      <c r="BX4" s="128">
        <f xml:space="preserve"> Time!BX$25</f>
        <v>2017</v>
      </c>
      <c r="BY4" s="128">
        <f xml:space="preserve"> Time!BY$25</f>
        <v>2017</v>
      </c>
    </row>
    <row r="5" spans="1:77" s="66" customFormat="1" x14ac:dyDescent="0.2">
      <c r="A5" s="63"/>
      <c r="B5" s="63"/>
      <c r="C5" s="64"/>
      <c r="D5" s="65"/>
      <c r="E5" s="61" t="str">
        <f ca="1" xml:space="preserve"> Time!E$9</f>
        <v>Model column counter</v>
      </c>
      <c r="F5" s="87" t="s">
        <v>22</v>
      </c>
      <c r="G5" s="63" t="s">
        <v>23</v>
      </c>
      <c r="H5" s="87" t="s">
        <v>24</v>
      </c>
      <c r="J5" s="66">
        <f ca="1" xml:space="preserve"> Time!J$9</f>
        <v>1</v>
      </c>
      <c r="K5" s="66">
        <f ca="1" xml:space="preserve"> Time!K$9</f>
        <v>2</v>
      </c>
      <c r="L5" s="66">
        <f ca="1" xml:space="preserve"> Time!L$9</f>
        <v>3</v>
      </c>
      <c r="M5" s="66">
        <f ca="1" xml:space="preserve"> Time!M$9</f>
        <v>4</v>
      </c>
      <c r="N5" s="66">
        <f ca="1" xml:space="preserve"> Time!N$9</f>
        <v>5</v>
      </c>
      <c r="O5" s="66">
        <f ca="1" xml:space="preserve"> Time!O$9</f>
        <v>6</v>
      </c>
      <c r="P5" s="66">
        <f ca="1" xml:space="preserve"> Time!P$9</f>
        <v>7</v>
      </c>
      <c r="Q5" s="66">
        <f ca="1" xml:space="preserve"> Time!Q$9</f>
        <v>8</v>
      </c>
      <c r="R5" s="66">
        <f ca="1" xml:space="preserve"> Time!R$9</f>
        <v>9</v>
      </c>
      <c r="S5" s="66">
        <f ca="1" xml:space="preserve"> Time!S$9</f>
        <v>10</v>
      </c>
      <c r="T5" s="66">
        <f ca="1" xml:space="preserve"> Time!T$9</f>
        <v>11</v>
      </c>
      <c r="U5" s="66">
        <f ca="1" xml:space="preserve"> Time!U$9</f>
        <v>12</v>
      </c>
      <c r="V5" s="66">
        <f ca="1" xml:space="preserve"> Time!V$9</f>
        <v>13</v>
      </c>
      <c r="W5" s="66">
        <f ca="1" xml:space="preserve"> Time!W$9</f>
        <v>14</v>
      </c>
      <c r="X5" s="66">
        <f ca="1" xml:space="preserve"> Time!X$9</f>
        <v>15</v>
      </c>
      <c r="Y5" s="66">
        <f ca="1" xml:space="preserve"> Time!Y$9</f>
        <v>16</v>
      </c>
      <c r="Z5" s="66">
        <f ca="1" xml:space="preserve"> Time!Z$9</f>
        <v>17</v>
      </c>
      <c r="AA5" s="66">
        <f ca="1" xml:space="preserve"> Time!AA$9</f>
        <v>18</v>
      </c>
      <c r="AB5" s="66">
        <f ca="1" xml:space="preserve"> Time!AB$9</f>
        <v>19</v>
      </c>
      <c r="AC5" s="66">
        <f ca="1" xml:space="preserve"> Time!AC$9</f>
        <v>20</v>
      </c>
      <c r="AD5" s="66">
        <f ca="1" xml:space="preserve"> Time!AD$9</f>
        <v>21</v>
      </c>
      <c r="AE5" s="66">
        <f ca="1" xml:space="preserve"> Time!AE$9</f>
        <v>22</v>
      </c>
      <c r="AF5" s="66">
        <f ca="1" xml:space="preserve"> Time!AF$9</f>
        <v>23</v>
      </c>
      <c r="AG5" s="66">
        <f ca="1" xml:space="preserve"> Time!AG$9</f>
        <v>24</v>
      </c>
      <c r="AH5" s="66">
        <f ca="1" xml:space="preserve"> Time!AH$9</f>
        <v>25</v>
      </c>
      <c r="AI5" s="66">
        <f ca="1" xml:space="preserve"> Time!AI$9</f>
        <v>26</v>
      </c>
      <c r="AJ5" s="66">
        <f ca="1" xml:space="preserve"> Time!AJ$9</f>
        <v>27</v>
      </c>
      <c r="AK5" s="66">
        <f ca="1" xml:space="preserve"> Time!AK$9</f>
        <v>28</v>
      </c>
      <c r="AL5" s="66">
        <f ca="1" xml:space="preserve"> Time!AL$9</f>
        <v>29</v>
      </c>
      <c r="AM5" s="66">
        <f ca="1" xml:space="preserve"> Time!AM$9</f>
        <v>30</v>
      </c>
      <c r="AN5" s="66">
        <f ca="1" xml:space="preserve"> Time!AN$9</f>
        <v>31</v>
      </c>
      <c r="AO5" s="66">
        <f ca="1" xml:space="preserve"> Time!AO$9</f>
        <v>32</v>
      </c>
      <c r="AP5" s="66">
        <f ca="1" xml:space="preserve"> Time!AP$9</f>
        <v>33</v>
      </c>
      <c r="AQ5" s="66">
        <f ca="1" xml:space="preserve"> Time!AQ$9</f>
        <v>34</v>
      </c>
      <c r="AR5" s="66">
        <f ca="1" xml:space="preserve"> Time!AR$9</f>
        <v>35</v>
      </c>
      <c r="AS5" s="66">
        <f ca="1" xml:space="preserve"> Time!AS$9</f>
        <v>36</v>
      </c>
      <c r="AT5" s="66">
        <f ca="1" xml:space="preserve"> Time!AT$9</f>
        <v>37</v>
      </c>
      <c r="AU5" s="66">
        <f ca="1" xml:space="preserve"> Time!AU$9</f>
        <v>38</v>
      </c>
      <c r="AV5" s="66">
        <f ca="1" xml:space="preserve"> Time!AV$9</f>
        <v>39</v>
      </c>
      <c r="AW5" s="66">
        <f ca="1" xml:space="preserve"> Time!AW$9</f>
        <v>40</v>
      </c>
      <c r="AX5" s="66">
        <f ca="1" xml:space="preserve"> Time!AX$9</f>
        <v>41</v>
      </c>
      <c r="AY5" s="66">
        <f ca="1" xml:space="preserve"> Time!AY$9</f>
        <v>42</v>
      </c>
      <c r="AZ5" s="66">
        <f ca="1" xml:space="preserve"> Time!AZ$9</f>
        <v>43</v>
      </c>
      <c r="BA5" s="66">
        <f ca="1" xml:space="preserve"> Time!BA$9</f>
        <v>44</v>
      </c>
      <c r="BB5" s="66">
        <f ca="1" xml:space="preserve"> Time!BB$9</f>
        <v>45</v>
      </c>
      <c r="BC5" s="66">
        <f ca="1" xml:space="preserve"> Time!BC$9</f>
        <v>46</v>
      </c>
      <c r="BD5" s="66">
        <f ca="1" xml:space="preserve"> Time!BD$9</f>
        <v>47</v>
      </c>
      <c r="BE5" s="66">
        <f ca="1" xml:space="preserve"> Time!BE$9</f>
        <v>48</v>
      </c>
      <c r="BF5" s="66">
        <f ca="1" xml:space="preserve"> Time!BF$9</f>
        <v>49</v>
      </c>
      <c r="BG5" s="66">
        <f ca="1" xml:space="preserve"> Time!BG$9</f>
        <v>50</v>
      </c>
      <c r="BH5" s="66">
        <f ca="1" xml:space="preserve"> Time!BH$9</f>
        <v>51</v>
      </c>
      <c r="BI5" s="66">
        <f ca="1" xml:space="preserve"> Time!BI$9</f>
        <v>52</v>
      </c>
      <c r="BJ5" s="66">
        <f ca="1" xml:space="preserve"> Time!BJ$9</f>
        <v>53</v>
      </c>
      <c r="BK5" s="66">
        <f ca="1" xml:space="preserve"> Time!BK$9</f>
        <v>54</v>
      </c>
      <c r="BL5" s="66">
        <f ca="1" xml:space="preserve"> Time!BL$9</f>
        <v>55</v>
      </c>
      <c r="BM5" s="66">
        <f ca="1" xml:space="preserve"> Time!BM$9</f>
        <v>56</v>
      </c>
      <c r="BN5" s="66">
        <f ca="1" xml:space="preserve"> Time!BN$9</f>
        <v>57</v>
      </c>
      <c r="BO5" s="66">
        <f ca="1" xml:space="preserve"> Time!BO$9</f>
        <v>58</v>
      </c>
      <c r="BP5" s="66">
        <f ca="1" xml:space="preserve"> Time!BP$9</f>
        <v>59</v>
      </c>
      <c r="BQ5" s="66">
        <f ca="1" xml:space="preserve"> Time!BQ$9</f>
        <v>60</v>
      </c>
      <c r="BR5" s="66">
        <f ca="1" xml:space="preserve"> Time!BR$9</f>
        <v>61</v>
      </c>
      <c r="BS5" s="66">
        <f ca="1" xml:space="preserve"> Time!BS$9</f>
        <v>62</v>
      </c>
      <c r="BT5" s="66">
        <f ca="1" xml:space="preserve"> Time!BT$9</f>
        <v>63</v>
      </c>
      <c r="BU5" s="66">
        <f ca="1" xml:space="preserve"> Time!BU$9</f>
        <v>64</v>
      </c>
      <c r="BV5" s="66">
        <f ca="1" xml:space="preserve"> Time!BV$9</f>
        <v>65</v>
      </c>
      <c r="BW5" s="66">
        <f ca="1" xml:space="preserve"> Time!BW$9</f>
        <v>66</v>
      </c>
      <c r="BX5" s="66">
        <f ca="1" xml:space="preserve"> Time!BX$9</f>
        <v>67</v>
      </c>
      <c r="BY5" s="66">
        <f ca="1" xml:space="preserve"> Time!BY$9</f>
        <v>68</v>
      </c>
    </row>
    <row r="7" spans="1:77" x14ac:dyDescent="0.2">
      <c r="A7" s="11" t="s">
        <v>18</v>
      </c>
    </row>
    <row r="9" spans="1:77" s="52" customFormat="1" x14ac:dyDescent="0.2">
      <c r="A9" s="42"/>
      <c r="B9" s="42"/>
      <c r="C9" s="43"/>
      <c r="D9" s="49"/>
      <c r="E9" s="50" t="s">
        <v>14</v>
      </c>
      <c r="F9" s="50">
        <v>0</v>
      </c>
      <c r="G9" s="51" t="s">
        <v>10</v>
      </c>
    </row>
    <row r="10" spans="1:77" s="16" customFormat="1" x14ac:dyDescent="0.2">
      <c r="A10" s="34"/>
      <c r="B10" s="34"/>
      <c r="C10" s="35"/>
      <c r="D10" s="55"/>
      <c r="E10" s="16" t="str">
        <f>Time!E$33</f>
        <v>Acquisition / initial balance date flag</v>
      </c>
      <c r="F10" s="16">
        <f>Time!F$33</f>
        <v>0</v>
      </c>
      <c r="G10" s="16" t="str">
        <f>Time!G$33</f>
        <v>flag</v>
      </c>
      <c r="H10" s="16">
        <f>Time!H$33</f>
        <v>1</v>
      </c>
      <c r="I10" s="16">
        <f>Time!I$33</f>
        <v>0</v>
      </c>
      <c r="J10" s="16">
        <f>Time!J$33</f>
        <v>1</v>
      </c>
      <c r="K10" s="16">
        <f>Time!K$33</f>
        <v>0</v>
      </c>
      <c r="L10" s="16">
        <f>Time!L$33</f>
        <v>0</v>
      </c>
      <c r="M10" s="16">
        <f>Time!M$33</f>
        <v>0</v>
      </c>
      <c r="N10" s="16">
        <f>Time!N$33</f>
        <v>0</v>
      </c>
      <c r="O10" s="16">
        <f>Time!O$33</f>
        <v>0</v>
      </c>
      <c r="P10" s="16">
        <f>Time!P$33</f>
        <v>0</v>
      </c>
      <c r="Q10" s="16">
        <f>Time!Q$33</f>
        <v>0</v>
      </c>
      <c r="R10" s="16">
        <f>Time!R$33</f>
        <v>0</v>
      </c>
      <c r="S10" s="16">
        <f>Time!S$33</f>
        <v>0</v>
      </c>
      <c r="T10" s="16">
        <f>Time!T$33</f>
        <v>0</v>
      </c>
      <c r="U10" s="16">
        <f>Time!U$33</f>
        <v>0</v>
      </c>
      <c r="V10" s="16">
        <f>Time!V$33</f>
        <v>0</v>
      </c>
      <c r="W10" s="16">
        <f>Time!W$33</f>
        <v>0</v>
      </c>
      <c r="X10" s="16">
        <f>Time!X$33</f>
        <v>0</v>
      </c>
      <c r="Y10" s="16">
        <f>Time!Y$33</f>
        <v>0</v>
      </c>
      <c r="Z10" s="16">
        <f>Time!Z$33</f>
        <v>0</v>
      </c>
      <c r="AA10" s="16">
        <f>Time!AA$33</f>
        <v>0</v>
      </c>
      <c r="AB10" s="16">
        <f>Time!AB$33</f>
        <v>0</v>
      </c>
      <c r="AC10" s="16">
        <f>Time!AC$33</f>
        <v>0</v>
      </c>
      <c r="AD10" s="16">
        <f>Time!AD$33</f>
        <v>0</v>
      </c>
      <c r="AE10" s="16">
        <f>Time!AE$33</f>
        <v>0</v>
      </c>
      <c r="AF10" s="16">
        <f>Time!AF$33</f>
        <v>0</v>
      </c>
      <c r="AG10" s="16">
        <f>Time!AG$33</f>
        <v>0</v>
      </c>
      <c r="AH10" s="16">
        <f>Time!AH$33</f>
        <v>0</v>
      </c>
      <c r="AI10" s="16">
        <f>Time!AI$33</f>
        <v>0</v>
      </c>
      <c r="AJ10" s="16">
        <f>Time!AJ$33</f>
        <v>0</v>
      </c>
      <c r="AK10" s="16">
        <f>Time!AK$33</f>
        <v>0</v>
      </c>
      <c r="AL10" s="16">
        <f>Time!AL$33</f>
        <v>0</v>
      </c>
      <c r="AM10" s="16">
        <f>Time!AM$33</f>
        <v>0</v>
      </c>
      <c r="AN10" s="16">
        <f>Time!AN$33</f>
        <v>0</v>
      </c>
      <c r="AO10" s="16">
        <f>Time!AO$33</f>
        <v>0</v>
      </c>
      <c r="AP10" s="16">
        <f>Time!AP$33</f>
        <v>0</v>
      </c>
      <c r="AQ10" s="16">
        <f>Time!AQ$33</f>
        <v>0</v>
      </c>
      <c r="AR10" s="16">
        <f>Time!AR$33</f>
        <v>0</v>
      </c>
      <c r="AS10" s="16">
        <f>Time!AS$33</f>
        <v>0</v>
      </c>
      <c r="AT10" s="16">
        <f>Time!AT$33</f>
        <v>0</v>
      </c>
      <c r="AU10" s="16">
        <f>Time!AU$33</f>
        <v>0</v>
      </c>
      <c r="AV10" s="16">
        <f>Time!AV$33</f>
        <v>0</v>
      </c>
      <c r="AW10" s="16">
        <f>Time!AW$33</f>
        <v>0</v>
      </c>
      <c r="AX10" s="16">
        <f>Time!AX$33</f>
        <v>0</v>
      </c>
      <c r="AY10" s="16">
        <f>Time!AY$33</f>
        <v>0</v>
      </c>
      <c r="AZ10" s="16">
        <f>Time!AZ$33</f>
        <v>0</v>
      </c>
      <c r="BA10" s="16">
        <f>Time!BA$33</f>
        <v>0</v>
      </c>
      <c r="BB10" s="16">
        <f>Time!BB$33</f>
        <v>0</v>
      </c>
      <c r="BC10" s="16">
        <f>Time!BC$33</f>
        <v>0</v>
      </c>
      <c r="BD10" s="16">
        <f>Time!BD$33</f>
        <v>0</v>
      </c>
      <c r="BE10" s="16">
        <f>Time!BE$33</f>
        <v>0</v>
      </c>
      <c r="BF10" s="16">
        <f>Time!BF$33</f>
        <v>0</v>
      </c>
      <c r="BG10" s="16">
        <f>Time!BG$33</f>
        <v>0</v>
      </c>
      <c r="BH10" s="16">
        <f>Time!BH$33</f>
        <v>0</v>
      </c>
      <c r="BI10" s="16">
        <f>Time!BI$33</f>
        <v>0</v>
      </c>
      <c r="BJ10" s="16">
        <f>Time!BJ$33</f>
        <v>0</v>
      </c>
      <c r="BK10" s="16">
        <f>Time!BK$33</f>
        <v>0</v>
      </c>
      <c r="BL10" s="16">
        <f>Time!BL$33</f>
        <v>0</v>
      </c>
      <c r="BM10" s="16">
        <f>Time!BM$33</f>
        <v>0</v>
      </c>
      <c r="BN10" s="16">
        <f>Time!BN$33</f>
        <v>0</v>
      </c>
      <c r="BO10" s="16">
        <f>Time!BO$33</f>
        <v>0</v>
      </c>
      <c r="BP10" s="16">
        <f>Time!BP$33</f>
        <v>0</v>
      </c>
      <c r="BQ10" s="16">
        <f>Time!BQ$33</f>
        <v>0</v>
      </c>
      <c r="BR10" s="16">
        <f>Time!BR$33</f>
        <v>0</v>
      </c>
      <c r="BS10" s="16">
        <f>Time!BS$33</f>
        <v>0</v>
      </c>
      <c r="BT10" s="16">
        <f>Time!BT$33</f>
        <v>0</v>
      </c>
      <c r="BU10" s="16">
        <f>Time!BU$33</f>
        <v>0</v>
      </c>
      <c r="BV10" s="16">
        <f>Time!BV$33</f>
        <v>0</v>
      </c>
      <c r="BW10" s="16">
        <f>Time!BW$33</f>
        <v>0</v>
      </c>
      <c r="BX10" s="16">
        <f>Time!BX$33</f>
        <v>0</v>
      </c>
      <c r="BY10" s="16">
        <f>Time!BY$33</f>
        <v>0</v>
      </c>
    </row>
    <row r="11" spans="1:77" s="44" customFormat="1" x14ac:dyDescent="0.2">
      <c r="A11" s="9"/>
      <c r="B11" s="9"/>
      <c r="C11" s="10"/>
      <c r="D11" s="48"/>
    </row>
    <row r="12" spans="1:77" s="44" customFormat="1" x14ac:dyDescent="0.2">
      <c r="A12" s="9"/>
      <c r="B12" s="9"/>
      <c r="C12" s="10"/>
      <c r="D12" s="48"/>
      <c r="E12" s="53" t="s">
        <v>8</v>
      </c>
      <c r="G12" s="46"/>
      <c r="J12" s="44">
        <f t="shared" ref="J12:BU12" si="0" xml:space="preserve"> I15</f>
        <v>0</v>
      </c>
      <c r="K12" s="44">
        <f t="shared" si="0"/>
        <v>0</v>
      </c>
      <c r="L12" s="44">
        <f t="shared" si="0"/>
        <v>0</v>
      </c>
      <c r="M12" s="44">
        <f t="shared" si="0"/>
        <v>0</v>
      </c>
      <c r="N12" s="44">
        <f t="shared" si="0"/>
        <v>0</v>
      </c>
      <c r="O12" s="44">
        <f t="shared" si="0"/>
        <v>0</v>
      </c>
      <c r="P12" s="44">
        <f t="shared" si="0"/>
        <v>0</v>
      </c>
      <c r="Q12" s="44">
        <f t="shared" si="0"/>
        <v>0</v>
      </c>
      <c r="R12" s="44">
        <f t="shared" si="0"/>
        <v>0</v>
      </c>
      <c r="S12" s="44">
        <f t="shared" si="0"/>
        <v>0</v>
      </c>
      <c r="T12" s="44">
        <f t="shared" si="0"/>
        <v>0</v>
      </c>
      <c r="U12" s="44">
        <f t="shared" si="0"/>
        <v>0</v>
      </c>
      <c r="V12" s="44">
        <f t="shared" si="0"/>
        <v>0</v>
      </c>
      <c r="W12" s="44">
        <f t="shared" si="0"/>
        <v>0</v>
      </c>
      <c r="X12" s="44">
        <f t="shared" si="0"/>
        <v>0</v>
      </c>
      <c r="Y12" s="44">
        <f t="shared" si="0"/>
        <v>0</v>
      </c>
      <c r="Z12" s="44">
        <f t="shared" si="0"/>
        <v>0</v>
      </c>
      <c r="AA12" s="44">
        <f t="shared" si="0"/>
        <v>0</v>
      </c>
      <c r="AB12" s="44">
        <f t="shared" si="0"/>
        <v>0</v>
      </c>
      <c r="AC12" s="44">
        <f t="shared" si="0"/>
        <v>0</v>
      </c>
      <c r="AD12" s="44">
        <f t="shared" si="0"/>
        <v>0</v>
      </c>
      <c r="AE12" s="44">
        <f t="shared" si="0"/>
        <v>0</v>
      </c>
      <c r="AF12" s="44">
        <f t="shared" si="0"/>
        <v>0</v>
      </c>
      <c r="AG12" s="44">
        <f t="shared" si="0"/>
        <v>0</v>
      </c>
      <c r="AH12" s="44">
        <f t="shared" si="0"/>
        <v>0</v>
      </c>
      <c r="AI12" s="44">
        <f t="shared" si="0"/>
        <v>0</v>
      </c>
      <c r="AJ12" s="44">
        <f t="shared" si="0"/>
        <v>0</v>
      </c>
      <c r="AK12" s="44">
        <f t="shared" si="0"/>
        <v>0</v>
      </c>
      <c r="AL12" s="44">
        <f t="shared" si="0"/>
        <v>0</v>
      </c>
      <c r="AM12" s="44">
        <f t="shared" si="0"/>
        <v>0</v>
      </c>
      <c r="AN12" s="44">
        <f t="shared" si="0"/>
        <v>0</v>
      </c>
      <c r="AO12" s="44">
        <f t="shared" si="0"/>
        <v>0</v>
      </c>
      <c r="AP12" s="44">
        <f t="shared" si="0"/>
        <v>0</v>
      </c>
      <c r="AQ12" s="44">
        <f t="shared" si="0"/>
        <v>0</v>
      </c>
      <c r="AR12" s="44">
        <f t="shared" si="0"/>
        <v>0</v>
      </c>
      <c r="AS12" s="44">
        <f t="shared" si="0"/>
        <v>0</v>
      </c>
      <c r="AT12" s="44">
        <f t="shared" si="0"/>
        <v>0</v>
      </c>
      <c r="AU12" s="44">
        <f t="shared" si="0"/>
        <v>0</v>
      </c>
      <c r="AV12" s="44">
        <f t="shared" si="0"/>
        <v>0</v>
      </c>
      <c r="AW12" s="44">
        <f t="shared" si="0"/>
        <v>0</v>
      </c>
      <c r="AX12" s="44">
        <f t="shared" si="0"/>
        <v>0</v>
      </c>
      <c r="AY12" s="44">
        <f t="shared" si="0"/>
        <v>0</v>
      </c>
      <c r="AZ12" s="44">
        <f t="shared" si="0"/>
        <v>0</v>
      </c>
      <c r="BA12" s="44">
        <f t="shared" si="0"/>
        <v>0</v>
      </c>
      <c r="BB12" s="44">
        <f t="shared" si="0"/>
        <v>0</v>
      </c>
      <c r="BC12" s="44">
        <f t="shared" si="0"/>
        <v>0</v>
      </c>
      <c r="BD12" s="44">
        <f t="shared" si="0"/>
        <v>0</v>
      </c>
      <c r="BE12" s="44">
        <f t="shared" si="0"/>
        <v>0</v>
      </c>
      <c r="BF12" s="44">
        <f t="shared" si="0"/>
        <v>0</v>
      </c>
      <c r="BG12" s="44">
        <f t="shared" si="0"/>
        <v>0</v>
      </c>
      <c r="BH12" s="44">
        <f t="shared" si="0"/>
        <v>0</v>
      </c>
      <c r="BI12" s="44">
        <f t="shared" si="0"/>
        <v>0</v>
      </c>
      <c r="BJ12" s="44">
        <f t="shared" si="0"/>
        <v>0</v>
      </c>
      <c r="BK12" s="44">
        <f t="shared" si="0"/>
        <v>0</v>
      </c>
      <c r="BL12" s="44">
        <f t="shared" si="0"/>
        <v>0</v>
      </c>
      <c r="BM12" s="44">
        <f t="shared" si="0"/>
        <v>0</v>
      </c>
      <c r="BN12" s="44">
        <f t="shared" si="0"/>
        <v>0</v>
      </c>
      <c r="BO12" s="44">
        <f t="shared" si="0"/>
        <v>0</v>
      </c>
      <c r="BP12" s="44">
        <f t="shared" si="0"/>
        <v>0</v>
      </c>
      <c r="BQ12" s="44">
        <f t="shared" si="0"/>
        <v>0</v>
      </c>
      <c r="BR12" s="44">
        <f t="shared" si="0"/>
        <v>0</v>
      </c>
      <c r="BS12" s="44">
        <f t="shared" si="0"/>
        <v>0</v>
      </c>
      <c r="BT12" s="44">
        <f t="shared" si="0"/>
        <v>0</v>
      </c>
      <c r="BU12" s="44">
        <f t="shared" si="0"/>
        <v>0</v>
      </c>
      <c r="BV12" s="44">
        <f xml:space="preserve"> BU15</f>
        <v>0</v>
      </c>
      <c r="BW12" s="44">
        <f xml:space="preserve"> BV15</f>
        <v>0</v>
      </c>
      <c r="BX12" s="44">
        <f xml:space="preserve"> BW15</f>
        <v>0</v>
      </c>
      <c r="BY12" s="44">
        <f xml:space="preserve"> BX15</f>
        <v>0</v>
      </c>
    </row>
    <row r="13" spans="1:77" s="53" customFormat="1" x14ac:dyDescent="0.2">
      <c r="A13" s="40"/>
      <c r="B13" s="40"/>
      <c r="C13" s="41"/>
      <c r="D13" s="54" t="s">
        <v>35</v>
      </c>
      <c r="E13" s="53" t="s">
        <v>0</v>
      </c>
    </row>
    <row r="14" spans="1:77" s="53" customFormat="1" x14ac:dyDescent="0.2">
      <c r="A14" s="40"/>
      <c r="B14" s="40"/>
      <c r="C14" s="41"/>
      <c r="D14" s="54" t="s">
        <v>36</v>
      </c>
      <c r="E14" s="53" t="s">
        <v>1</v>
      </c>
    </row>
    <row r="15" spans="1:77" s="83" customFormat="1" x14ac:dyDescent="0.2">
      <c r="A15" s="79"/>
      <c r="B15" s="79"/>
      <c r="C15" s="80"/>
      <c r="D15" s="81"/>
      <c r="E15" s="82" t="s">
        <v>15</v>
      </c>
      <c r="G15" s="84"/>
      <c r="I15" s="85"/>
      <c r="J15" s="83">
        <f xml:space="preserve"> IF(J10 = 1, $F9, J12 + J13 - J14)</f>
        <v>0</v>
      </c>
      <c r="K15" s="83">
        <f t="shared" ref="K15:BV15" si="1" xml:space="preserve"> IF(K10 = 1, $F9, K12 + K13 - K14)</f>
        <v>0</v>
      </c>
      <c r="L15" s="83">
        <f t="shared" si="1"/>
        <v>0</v>
      </c>
      <c r="M15" s="83">
        <f t="shared" si="1"/>
        <v>0</v>
      </c>
      <c r="N15" s="83">
        <f t="shared" si="1"/>
        <v>0</v>
      </c>
      <c r="O15" s="83">
        <f t="shared" si="1"/>
        <v>0</v>
      </c>
      <c r="P15" s="83">
        <f t="shared" si="1"/>
        <v>0</v>
      </c>
      <c r="Q15" s="83">
        <f t="shared" si="1"/>
        <v>0</v>
      </c>
      <c r="R15" s="83">
        <f t="shared" si="1"/>
        <v>0</v>
      </c>
      <c r="S15" s="83">
        <f t="shared" si="1"/>
        <v>0</v>
      </c>
      <c r="T15" s="83">
        <f t="shared" si="1"/>
        <v>0</v>
      </c>
      <c r="U15" s="83">
        <f t="shared" si="1"/>
        <v>0</v>
      </c>
      <c r="V15" s="83">
        <f t="shared" si="1"/>
        <v>0</v>
      </c>
      <c r="W15" s="83">
        <f t="shared" si="1"/>
        <v>0</v>
      </c>
      <c r="X15" s="83">
        <f t="shared" si="1"/>
        <v>0</v>
      </c>
      <c r="Y15" s="83">
        <f t="shared" si="1"/>
        <v>0</v>
      </c>
      <c r="Z15" s="83">
        <f t="shared" si="1"/>
        <v>0</v>
      </c>
      <c r="AA15" s="83">
        <f t="shared" si="1"/>
        <v>0</v>
      </c>
      <c r="AB15" s="83">
        <f t="shared" si="1"/>
        <v>0</v>
      </c>
      <c r="AC15" s="83">
        <f t="shared" si="1"/>
        <v>0</v>
      </c>
      <c r="AD15" s="83">
        <f t="shared" si="1"/>
        <v>0</v>
      </c>
      <c r="AE15" s="83">
        <f t="shared" si="1"/>
        <v>0</v>
      </c>
      <c r="AF15" s="83">
        <f t="shared" si="1"/>
        <v>0</v>
      </c>
      <c r="AG15" s="83">
        <f t="shared" si="1"/>
        <v>0</v>
      </c>
      <c r="AH15" s="83">
        <f t="shared" si="1"/>
        <v>0</v>
      </c>
      <c r="AI15" s="83">
        <f t="shared" si="1"/>
        <v>0</v>
      </c>
      <c r="AJ15" s="83">
        <f t="shared" si="1"/>
        <v>0</v>
      </c>
      <c r="AK15" s="83">
        <f t="shared" si="1"/>
        <v>0</v>
      </c>
      <c r="AL15" s="83">
        <f t="shared" si="1"/>
        <v>0</v>
      </c>
      <c r="AM15" s="83">
        <f t="shared" si="1"/>
        <v>0</v>
      </c>
      <c r="AN15" s="83">
        <f t="shared" si="1"/>
        <v>0</v>
      </c>
      <c r="AO15" s="83">
        <f t="shared" si="1"/>
        <v>0</v>
      </c>
      <c r="AP15" s="83">
        <f t="shared" si="1"/>
        <v>0</v>
      </c>
      <c r="AQ15" s="83">
        <f t="shared" si="1"/>
        <v>0</v>
      </c>
      <c r="AR15" s="83">
        <f t="shared" si="1"/>
        <v>0</v>
      </c>
      <c r="AS15" s="83">
        <f t="shared" si="1"/>
        <v>0</v>
      </c>
      <c r="AT15" s="83">
        <f t="shared" si="1"/>
        <v>0</v>
      </c>
      <c r="AU15" s="83">
        <f t="shared" si="1"/>
        <v>0</v>
      </c>
      <c r="AV15" s="83">
        <f t="shared" si="1"/>
        <v>0</v>
      </c>
      <c r="AW15" s="83">
        <f t="shared" si="1"/>
        <v>0</v>
      </c>
      <c r="AX15" s="83">
        <f t="shared" si="1"/>
        <v>0</v>
      </c>
      <c r="AY15" s="83">
        <f t="shared" si="1"/>
        <v>0</v>
      </c>
      <c r="AZ15" s="83">
        <f t="shared" si="1"/>
        <v>0</v>
      </c>
      <c r="BA15" s="83">
        <f t="shared" si="1"/>
        <v>0</v>
      </c>
      <c r="BB15" s="83">
        <f t="shared" si="1"/>
        <v>0</v>
      </c>
      <c r="BC15" s="83">
        <f t="shared" si="1"/>
        <v>0</v>
      </c>
      <c r="BD15" s="83">
        <f t="shared" si="1"/>
        <v>0</v>
      </c>
      <c r="BE15" s="83">
        <f t="shared" si="1"/>
        <v>0</v>
      </c>
      <c r="BF15" s="83">
        <f t="shared" si="1"/>
        <v>0</v>
      </c>
      <c r="BG15" s="83">
        <f t="shared" si="1"/>
        <v>0</v>
      </c>
      <c r="BH15" s="83">
        <f t="shared" si="1"/>
        <v>0</v>
      </c>
      <c r="BI15" s="83">
        <f t="shared" si="1"/>
        <v>0</v>
      </c>
      <c r="BJ15" s="83">
        <f t="shared" si="1"/>
        <v>0</v>
      </c>
      <c r="BK15" s="83">
        <f t="shared" si="1"/>
        <v>0</v>
      </c>
      <c r="BL15" s="83">
        <f t="shared" si="1"/>
        <v>0</v>
      </c>
      <c r="BM15" s="83">
        <f t="shared" si="1"/>
        <v>0</v>
      </c>
      <c r="BN15" s="83">
        <f t="shared" si="1"/>
        <v>0</v>
      </c>
      <c r="BO15" s="83">
        <f t="shared" si="1"/>
        <v>0</v>
      </c>
      <c r="BP15" s="83">
        <f t="shared" si="1"/>
        <v>0</v>
      </c>
      <c r="BQ15" s="83">
        <f t="shared" si="1"/>
        <v>0</v>
      </c>
      <c r="BR15" s="83">
        <f t="shared" si="1"/>
        <v>0</v>
      </c>
      <c r="BS15" s="83">
        <f t="shared" si="1"/>
        <v>0</v>
      </c>
      <c r="BT15" s="83">
        <f t="shared" si="1"/>
        <v>0</v>
      </c>
      <c r="BU15" s="83">
        <f t="shared" si="1"/>
        <v>0</v>
      </c>
      <c r="BV15" s="83">
        <f t="shared" si="1"/>
        <v>0</v>
      </c>
      <c r="BW15" s="83">
        <f xml:space="preserve"> IF(BW10 = 1, $F9, BW12 + BW13 - BW14)</f>
        <v>0</v>
      </c>
      <c r="BX15" s="83">
        <f xml:space="preserve"> IF(BX10 = 1, $F9, BX12 + BX13 - BX14)</f>
        <v>0</v>
      </c>
      <c r="BY15" s="83">
        <f xml:space="preserve"> IF(BY10 = 1, $F9, BY12 + BY13 - BY14)</f>
        <v>0</v>
      </c>
    </row>
    <row r="16" spans="1:77" s="44" customFormat="1" x14ac:dyDescent="0.2">
      <c r="A16" s="9"/>
      <c r="B16" s="63"/>
      <c r="C16" s="64"/>
      <c r="D16" s="48"/>
    </row>
    <row r="27" spans="6:14" x14ac:dyDescent="0.2">
      <c r="F27" s="4"/>
      <c r="N27" s="3"/>
    </row>
    <row r="28" spans="6:14" x14ac:dyDescent="0.2">
      <c r="G28" s="1"/>
    </row>
    <row r="37" spans="6:6" x14ac:dyDescent="0.2">
      <c r="F37" s="4"/>
    </row>
  </sheetData>
  <phoneticPr fontId="2" type="noConversion"/>
  <conditionalFormatting sqref="J3:BY3">
    <cfRule type="cellIs" dxfId="5" priority="5" stopIfTrue="1" operator="equal">
      <formula>"Pre-forecast"</formula>
    </cfRule>
    <cfRule type="cellIs" dxfId="4" priority="6" stopIfTrue="1" operator="equal">
      <formula>"Forecast"</formula>
    </cfRule>
  </conditionalFormatting>
  <conditionalFormatting sqref="F3:F4">
    <cfRule type="cellIs" dxfId="3" priority="1" stopIfTrue="1" operator="notEqual">
      <formula>0</formula>
    </cfRule>
    <cfRule type="cellIs" dxfId="2" priority="2" stopIfTrue="1" operator="equal">
      <formula>""</formula>
    </cfRule>
  </conditionalFormatting>
  <conditionalFormatting sqref="F2">
    <cfRule type="cellIs" dxfId="1" priority="3" stopIfTrue="1" operator="notEqual">
      <formula>0</formula>
    </cfRule>
    <cfRule type="cellIs" dxfId="0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[project name]&amp;C&amp;"Arial,Bold"&amp;14Sheet: &amp;A&amp;R&amp;"Arial,Bold"&amp;14STRICTLY  CONFIDENTIAL</oddHeader>
    <oddFooter>&amp;L&amp;F ( Printed on &amp;D at &amp;T )&amp;RPage &amp;P</oddFooter>
  </headerFooter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workbookViewId="0"/>
  </sheetViews>
  <sheetFormatPr defaultRowHeight="12.75" x14ac:dyDescent="0.2"/>
  <sheetData>
    <row r="1" spans="1:256" x14ac:dyDescent="0.2">
      <c r="A1" t="s">
        <v>45</v>
      </c>
      <c r="F1" t="e">
        <f ca="1">InpC!A:A*"VCW!%"</f>
        <v>#VALUE!</v>
      </c>
      <c r="G1" t="e">
        <f ca="1">InpC!B:B*"VCW!&amp;"</f>
        <v>#VALUE!</v>
      </c>
      <c r="H1" t="e">
        <f ca="1">InpC!C:C*"VCW!'"</f>
        <v>#VALUE!</v>
      </c>
      <c r="I1" t="e">
        <f ca="1">InpC!D:D*"VCW!("</f>
        <v>#VALUE!</v>
      </c>
      <c r="J1" t="e">
        <f ca="1">InpC!E:E*"VCW!)"</f>
        <v>#VALUE!</v>
      </c>
      <c r="K1" t="e">
        <f ca="1">InpC!F:F*"VCW!."</f>
        <v>#VALUE!</v>
      </c>
      <c r="L1" t="e">
        <f ca="1">InpC!G:G*"VCW!/"</f>
        <v>#VALUE!</v>
      </c>
      <c r="M1" t="e">
        <f ca="1">InpC!H:H*"VCW!0"</f>
        <v>#VALUE!</v>
      </c>
      <c r="N1" t="e">
        <f ca="1">InpC!I:I*"VCW!1"</f>
        <v>#VALUE!</v>
      </c>
      <c r="O1" t="e">
        <f ca="1">InpC!J:J*"VCW!2"</f>
        <v>#VALUE!</v>
      </c>
      <c r="P1" t="e">
        <f ca="1">InpC!K:K*"VCW!3"</f>
        <v>#VALUE!</v>
      </c>
      <c r="Q1" t="e">
        <f ca="1">InpC!L:L*"VCW!4"</f>
        <v>#VALUE!</v>
      </c>
      <c r="R1" t="e">
        <f ca="1">InpC!M:M*"VCW!5"</f>
        <v>#VALUE!</v>
      </c>
      <c r="S1" t="e">
        <f ca="1">InpC!N:N*"VCW!6"</f>
        <v>#VALUE!</v>
      </c>
      <c r="T1" t="e">
        <f ca="1">InpC!O:O*"VCW!7"</f>
        <v>#VALUE!</v>
      </c>
      <c r="U1" t="e">
        <f ca="1">InpC!P:P*"VCW!8"</f>
        <v>#VALUE!</v>
      </c>
      <c r="V1" t="e">
        <f ca="1">InpC!Q:Q*"VCW!9"</f>
        <v>#VALUE!</v>
      </c>
      <c r="W1" t="e">
        <f ca="1">InpC!R:R*"VCW!:"</f>
        <v>#VALUE!</v>
      </c>
      <c r="X1" t="e">
        <f ca="1">InpC!S:S*"VCW!;"</f>
        <v>#VALUE!</v>
      </c>
      <c r="Y1" t="e">
        <f ca="1">InpC!T:T*"VCW!&lt;"</f>
        <v>#VALUE!</v>
      </c>
      <c r="Z1" t="e">
        <f ca="1">InpC!U:U*"VCW!="</f>
        <v>#VALUE!</v>
      </c>
      <c r="AA1" t="e">
        <f ca="1">InpC!V:V*"VCW!&gt;"</f>
        <v>#VALUE!</v>
      </c>
      <c r="AB1" t="e">
        <f ca="1">InpC!W:W*"VCW!?"</f>
        <v>#VALUE!</v>
      </c>
      <c r="AC1" t="e">
        <f ca="1">InpC!X:X*"VCW!@"</f>
        <v>#VALUE!</v>
      </c>
      <c r="AD1" t="e">
        <f ca="1">InpC!Y:Y*"VCW!A"</f>
        <v>#VALUE!</v>
      </c>
      <c r="AE1" t="e">
        <f ca="1">InpC!Z:Z*"VCW!B"</f>
        <v>#VALUE!</v>
      </c>
      <c r="AF1" t="e">
        <f ca="1">InpC!AA:AA*"VCW!C"</f>
        <v>#VALUE!</v>
      </c>
      <c r="AG1" t="e">
        <f ca="1">InpC!AB:AB*"VCW!D"</f>
        <v>#VALUE!</v>
      </c>
      <c r="AH1" t="e">
        <f ca="1">InpC!AC:AC*"VCW!E"</f>
        <v>#VALUE!</v>
      </c>
      <c r="AI1" t="e">
        <f ca="1">InpC!AD:AD*"VCW!F"</f>
        <v>#VALUE!</v>
      </c>
      <c r="AJ1" t="e">
        <f ca="1">InpC!AE:AE*"VCW!G"</f>
        <v>#VALUE!</v>
      </c>
      <c r="AK1" t="e">
        <f ca="1">InpC!AF:AF*"VCW!H"</f>
        <v>#VALUE!</v>
      </c>
      <c r="AL1" t="e">
        <f ca="1">InpC!AG:AG*"VCW!I"</f>
        <v>#VALUE!</v>
      </c>
      <c r="AM1" t="e">
        <f ca="1">InpC!AH:AH*"VCW!J"</f>
        <v>#VALUE!</v>
      </c>
      <c r="AN1" t="e">
        <f ca="1">InpC!AI:AI*"VCW!K"</f>
        <v>#VALUE!</v>
      </c>
      <c r="AO1" t="e">
        <f ca="1">InpC!AJ:AJ*"VCW!L"</f>
        <v>#VALUE!</v>
      </c>
      <c r="AP1" t="e">
        <f ca="1">InpC!AK:AK*"VCW!M"</f>
        <v>#VALUE!</v>
      </c>
      <c r="AQ1" t="e">
        <f ca="1">InpC!AL:AL*"VCW!N"</f>
        <v>#VALUE!</v>
      </c>
      <c r="AR1" t="e">
        <f ca="1">InpC!AM:AM*"VCW!O"</f>
        <v>#VALUE!</v>
      </c>
      <c r="AS1" t="e">
        <f ca="1">InpC!AN:AN*"VCW!P"</f>
        <v>#VALUE!</v>
      </c>
      <c r="AT1" t="e">
        <f ca="1">InpC!AO:AO*"VCW!Q"</f>
        <v>#VALUE!</v>
      </c>
      <c r="AU1" t="e">
        <f ca="1">InpC!AP:AP*"VCW!R"</f>
        <v>#VALUE!</v>
      </c>
      <c r="AV1" t="e">
        <f ca="1">InpC!AQ:AQ*"VCW!S"</f>
        <v>#VALUE!</v>
      </c>
      <c r="AW1" t="e">
        <f ca="1">InpC!AR:AR*"VCW!T"</f>
        <v>#VALUE!</v>
      </c>
      <c r="AX1" t="e">
        <f ca="1">InpC!AS:AS*"VCW!U"</f>
        <v>#VALUE!</v>
      </c>
      <c r="AY1" t="e">
        <f ca="1">InpC!AT:AT*"VCW!V"</f>
        <v>#VALUE!</v>
      </c>
      <c r="AZ1" t="e">
        <f ca="1">InpC!AU:AU*"VCW!W"</f>
        <v>#VALUE!</v>
      </c>
      <c r="BA1" t="e">
        <f ca="1">InpC!AV:AV*"VCW!X"</f>
        <v>#VALUE!</v>
      </c>
      <c r="BB1" t="e">
        <f ca="1">InpC!AW:AW*"VCW!Y"</f>
        <v>#VALUE!</v>
      </c>
      <c r="BC1" t="e">
        <f ca="1">InpC!AX:AX*"VCW!Z"</f>
        <v>#VALUE!</v>
      </c>
      <c r="BD1" t="e">
        <f ca="1">InpC!AY:AY*"VCW!["</f>
        <v>#VALUE!</v>
      </c>
      <c r="BE1" t="e">
        <f ca="1">InpC!AZ:AZ*"VCW!\"</f>
        <v>#VALUE!</v>
      </c>
      <c r="BF1" t="e">
        <f ca="1">InpC!BA:BA*"VCW!]"</f>
        <v>#VALUE!</v>
      </c>
      <c r="BG1" t="e">
        <f ca="1">InpC!BB:BB*"VCW!^"</f>
        <v>#VALUE!</v>
      </c>
      <c r="BH1" t="e">
        <f ca="1">InpC!BC:BC*"VCW!_"</f>
        <v>#VALUE!</v>
      </c>
      <c r="BI1" t="e">
        <f ca="1">InpC!BD:BD*"VCW!`"</f>
        <v>#VALUE!</v>
      </c>
      <c r="BJ1" t="e">
        <f ca="1">InpC!BE:BE*"VCW!a"</f>
        <v>#VALUE!</v>
      </c>
      <c r="BK1" t="e">
        <f ca="1">InpC!BF:BF*"VCW!b"</f>
        <v>#VALUE!</v>
      </c>
      <c r="BL1" t="e">
        <f ca="1">InpC!BG:BG*"VCW!c"</f>
        <v>#VALUE!</v>
      </c>
      <c r="BM1" t="e">
        <f ca="1">InpC!BH:BH*"VCW!d"</f>
        <v>#VALUE!</v>
      </c>
      <c r="BN1" t="e">
        <f ca="1">InpC!BI:BI*"VCW!e"</f>
        <v>#VALUE!</v>
      </c>
      <c r="BO1" t="e">
        <f ca="1">InpC!BJ:BJ*"VCW!f"</f>
        <v>#VALUE!</v>
      </c>
      <c r="BP1" t="e">
        <f ca="1">InpC!BK:BK*"VCW!g"</f>
        <v>#VALUE!</v>
      </c>
      <c r="BQ1" t="e">
        <f ca="1">InpC!BL:BL*"VCW!h"</f>
        <v>#VALUE!</v>
      </c>
      <c r="BR1" t="e">
        <f ca="1">InpC!BM:BM*"VCW!i"</f>
        <v>#VALUE!</v>
      </c>
      <c r="BS1" t="e">
        <f ca="1">InpC!BN:BN*"VCW!j"</f>
        <v>#VALUE!</v>
      </c>
      <c r="BT1" t="e">
        <f ca="1">InpC!BO:BO*"VCW!k"</f>
        <v>#VALUE!</v>
      </c>
      <c r="BU1" t="e">
        <f ca="1">InpC!BP:BP*"VCW!l"</f>
        <v>#VALUE!</v>
      </c>
      <c r="BV1" t="e">
        <f ca="1">InpC!BQ:BQ*"VCW!m"</f>
        <v>#VALUE!</v>
      </c>
      <c r="BW1" t="e">
        <f ca="1">InpC!BR:BR*"VCW!n"</f>
        <v>#VALUE!</v>
      </c>
      <c r="BX1" t="e">
        <f ca="1">InpC!BS:BS*"VCW!o"</f>
        <v>#VALUE!</v>
      </c>
      <c r="BY1" t="e">
        <f ca="1">InpC!BT:BT*"VCW!p"</f>
        <v>#VALUE!</v>
      </c>
      <c r="BZ1" t="e">
        <f ca="1">InpC!BU:BU*"VCW!q"</f>
        <v>#VALUE!</v>
      </c>
      <c r="CA1" t="e">
        <f ca="1">InpC!BV:BV*"VCW!r"</f>
        <v>#VALUE!</v>
      </c>
      <c r="CB1" t="e">
        <f ca="1">InpC!BW:BW*"VCW!s"</f>
        <v>#VALUE!</v>
      </c>
      <c r="CC1" t="e">
        <f ca="1">InpC!BX:BX*"VCW!t"</f>
        <v>#VALUE!</v>
      </c>
      <c r="CD1" t="e">
        <f ca="1">InpC!BY:BY*"VCW!u"</f>
        <v>#VALUE!</v>
      </c>
      <c r="CE1" t="e">
        <f ca="1">InpC!BZ:BZ*"VCW!v"</f>
        <v>#VALUE!</v>
      </c>
      <c r="CF1" t="e">
        <f ca="1">InpC!CA:CA*"VCW!w"</f>
        <v>#VALUE!</v>
      </c>
      <c r="CG1" t="e">
        <f ca="1">InpC!CB:CB*"VCW!x"</f>
        <v>#VALUE!</v>
      </c>
      <c r="CH1" t="e">
        <f ca="1">InpC!CC:CC*"VCW!y"</f>
        <v>#VALUE!</v>
      </c>
      <c r="CI1" t="e">
        <f ca="1">InpC!CD:CD*"VCW!z"</f>
        <v>#VALUE!</v>
      </c>
      <c r="CJ1" t="e">
        <f ca="1">InpC!CE:CE*"VCW!{"</f>
        <v>#VALUE!</v>
      </c>
      <c r="CK1" t="e">
        <f ca="1">InpC!CF:CF*"VCW!|"</f>
        <v>#VALUE!</v>
      </c>
      <c r="CL1" t="e">
        <f ca="1">InpC!CG:CG*"VCW!}"</f>
        <v>#VALUE!</v>
      </c>
      <c r="CM1" t="e">
        <f ca="1">InpC!CH:CH*"VCW!~"</f>
        <v>#VALUE!</v>
      </c>
      <c r="CN1" t="e">
        <f ca="1">InpC!CI:CI*"VCW!$#"</f>
        <v>#VALUE!</v>
      </c>
      <c r="CO1" t="e">
        <f ca="1">InpC!CJ:CJ*"VCW!$$"</f>
        <v>#VALUE!</v>
      </c>
      <c r="CP1" t="e">
        <f ca="1">InpC!CK:CK*"VCW!$%"</f>
        <v>#VALUE!</v>
      </c>
      <c r="CQ1" t="e">
        <f ca="1">InpC!CL:CL*"VCW!$&amp;"</f>
        <v>#VALUE!</v>
      </c>
      <c r="CR1" t="e">
        <f ca="1">InpC!CM:CM*"VCW!$'"</f>
        <v>#VALUE!</v>
      </c>
      <c r="CS1" t="e">
        <f ca="1">InpC!CN:CN*"VCW!$("</f>
        <v>#VALUE!</v>
      </c>
      <c r="CT1" t="e">
        <f ca="1">InpC!CO:CO*"VCW!$)"</f>
        <v>#VALUE!</v>
      </c>
      <c r="CU1" t="e">
        <f ca="1">InpC!CP:CP*"VCW!$."</f>
        <v>#VALUE!</v>
      </c>
      <c r="CV1" t="e">
        <f ca="1">InpC!CQ:CQ*"VCW!$/"</f>
        <v>#VALUE!</v>
      </c>
      <c r="CW1" t="e">
        <f ca="1">InpC!CR:CR*"VCW!$0"</f>
        <v>#VALUE!</v>
      </c>
      <c r="CX1" t="e">
        <f ca="1">InpC!CS:CS*"VCW!$1"</f>
        <v>#VALUE!</v>
      </c>
      <c r="CY1" t="e">
        <f ca="1">InpC!CT:CT*"VCW!$2"</f>
        <v>#VALUE!</v>
      </c>
      <c r="CZ1" t="e">
        <f ca="1">InpC!CU:CU*"VCW!$3"</f>
        <v>#VALUE!</v>
      </c>
      <c r="DA1" t="e">
        <f ca="1">InpC!CV:CV*"VCW!$4"</f>
        <v>#VALUE!</v>
      </c>
      <c r="DB1" t="e">
        <f ca="1">InpC!CW:CW*"VCW!$5"</f>
        <v>#VALUE!</v>
      </c>
      <c r="DC1" t="e">
        <f ca="1">InpC!CX:CX*"VCW!$6"</f>
        <v>#VALUE!</v>
      </c>
      <c r="DD1" t="e">
        <f ca="1">InpC!CY:CY*"VCW!$7"</f>
        <v>#VALUE!</v>
      </c>
      <c r="DE1" t="e">
        <f ca="1">InpC!CZ:CZ*"VCW!$8"</f>
        <v>#VALUE!</v>
      </c>
      <c r="DF1" t="e">
        <f ca="1">InpC!DA:DA*"VCW!$9"</f>
        <v>#VALUE!</v>
      </c>
      <c r="DG1" t="e">
        <f ca="1">InpC!DB:DB*"VCW!$:"</f>
        <v>#VALUE!</v>
      </c>
      <c r="DH1" t="e">
        <f ca="1">InpC!DC:DC*"VCW!$;"</f>
        <v>#VALUE!</v>
      </c>
      <c r="DI1" t="e">
        <f ca="1">InpC!DD:DD*"VCW!$&lt;"</f>
        <v>#VALUE!</v>
      </c>
      <c r="DJ1" t="e">
        <f ca="1">InpC!DE:DE*"VCW!$="</f>
        <v>#VALUE!</v>
      </c>
      <c r="DK1" t="e">
        <f ca="1">InpC!DF:DF*"VCW!$&gt;"</f>
        <v>#VALUE!</v>
      </c>
      <c r="DL1" t="e">
        <f ca="1">InpC!DG:DG*"VCW!$?"</f>
        <v>#VALUE!</v>
      </c>
      <c r="DM1" t="e">
        <f ca="1">InpC!DH:DH*"VCW!$@"</f>
        <v>#VALUE!</v>
      </c>
      <c r="DN1" t="e">
        <f ca="1">InpC!DI:DI*"VCW!$A"</f>
        <v>#VALUE!</v>
      </c>
      <c r="DO1" t="e">
        <f ca="1">InpC!DJ:DJ*"VCW!$B"</f>
        <v>#VALUE!</v>
      </c>
      <c r="DP1" t="e">
        <f ca="1">InpC!DK:DK*"VCW!$C"</f>
        <v>#VALUE!</v>
      </c>
      <c r="DQ1" t="e">
        <f ca="1">InpC!DL:DL*"VCW!$D"</f>
        <v>#VALUE!</v>
      </c>
      <c r="DR1" t="e">
        <f ca="1">InpC!DM:DM*"VCW!$E"</f>
        <v>#VALUE!</v>
      </c>
      <c r="DS1" t="e">
        <f ca="1">InpC!DN:DN*"VCW!$F"</f>
        <v>#VALUE!</v>
      </c>
      <c r="DT1" t="e">
        <f ca="1">InpC!DO:DO*"VCW!$G"</f>
        <v>#VALUE!</v>
      </c>
      <c r="DU1" t="e">
        <f ca="1">InpC!DP:DP*"VCW!$H"</f>
        <v>#VALUE!</v>
      </c>
      <c r="DV1" t="e">
        <f ca="1">InpC!DQ:DQ*"VCW!$I"</f>
        <v>#VALUE!</v>
      </c>
      <c r="DW1" t="e">
        <f ca="1">InpC!DR:DR*"VCW!$J"</f>
        <v>#VALUE!</v>
      </c>
      <c r="DX1" t="e">
        <f ca="1">InpC!DS:DS*"VCW!$K"</f>
        <v>#VALUE!</v>
      </c>
      <c r="DY1" t="e">
        <f ca="1">InpC!DT:DT*"VCW!$L"</f>
        <v>#VALUE!</v>
      </c>
      <c r="DZ1" t="e">
        <f ca="1">InpC!DU:DU*"VCW!$M"</f>
        <v>#VALUE!</v>
      </c>
      <c r="EA1" t="e">
        <f ca="1">InpC!DV:DV*"VCW!$N"</f>
        <v>#VALUE!</v>
      </c>
      <c r="EB1" t="e">
        <f ca="1">InpC!DW:DW*"VCW!$O"</f>
        <v>#VALUE!</v>
      </c>
      <c r="EC1" t="e">
        <f ca="1">InpC!1:1-"VCW!$P"</f>
        <v>#VALUE!</v>
      </c>
      <c r="ED1" t="e">
        <f ca="1">InpC!2:2-"VCW!$Q"</f>
        <v>#VALUE!</v>
      </c>
      <c r="EE1" t="e">
        <f ca="1">InpC!3:3-"VCW!$R"</f>
        <v>#VALUE!</v>
      </c>
      <c r="EF1" t="e">
        <f ca="1">InpC!4:4-"VCW!$S"</f>
        <v>#VALUE!</v>
      </c>
      <c r="EG1" t="e">
        <f ca="1">InpC!5:5-"VCW!$T"</f>
        <v>#VALUE!</v>
      </c>
      <c r="EH1" t="e">
        <f ca="1">InpC!6:6-"VCW!$U"</f>
        <v>#VALUE!</v>
      </c>
      <c r="EI1" t="e">
        <f ca="1">InpC!7:7-"VCW!$V"</f>
        <v>#VALUE!</v>
      </c>
      <c r="EJ1" t="e">
        <f ca="1">InpC!8:8-"VCW!$W"</f>
        <v>#VALUE!</v>
      </c>
      <c r="EK1" t="e">
        <f ca="1">InpC!9:9-"VCW!$X"</f>
        <v>#VALUE!</v>
      </c>
      <c r="EL1" t="e">
        <f ca="1">InpC!10:10-"VCW!$Y"</f>
        <v>#VALUE!</v>
      </c>
      <c r="EM1" t="e">
        <f ca="1">InpC!11:11-"VCW!$Z"</f>
        <v>#VALUE!</v>
      </c>
      <c r="EN1" t="e">
        <f ca="1">InpC!12:12-"VCW!$["</f>
        <v>#VALUE!</v>
      </c>
      <c r="EO1" t="e">
        <f ca="1">InpC!13:13-"VCW!$\"</f>
        <v>#VALUE!</v>
      </c>
      <c r="EP1" t="e">
        <f ca="1">InpC!14:14-"VCW!$]"</f>
        <v>#VALUE!</v>
      </c>
      <c r="EQ1" t="e">
        <f ca="1">InpC!15:15-"VCW!$^"</f>
        <v>#VALUE!</v>
      </c>
      <c r="ER1" t="e">
        <f ca="1">InpC!16:16-"VCW!$_"</f>
        <v>#VALUE!</v>
      </c>
      <c r="ES1" t="e">
        <f ca="1">InpC!17:17-"VCW!$`"</f>
        <v>#VALUE!</v>
      </c>
      <c r="ET1" t="e">
        <f ca="1">InpC!18:18-"VCW!$a"</f>
        <v>#VALUE!</v>
      </c>
      <c r="EU1" t="e">
        <f ca="1">InpC!19:19-"VCW!$b"</f>
        <v>#VALUE!</v>
      </c>
      <c r="EV1" t="e">
        <f ca="1">InpC!20:20-"VCW!$c"</f>
        <v>#VALUE!</v>
      </c>
      <c r="EW1" t="e">
        <f ca="1">InpC!21:21-"VCW!$d"</f>
        <v>#VALUE!</v>
      </c>
      <c r="EX1" t="e">
        <f ca="1">InpC!22:22-"VCW!$e"</f>
        <v>#VALUE!</v>
      </c>
      <c r="EY1" t="e">
        <f ca="1">InpC!23:23-"VCW!$f"</f>
        <v>#VALUE!</v>
      </c>
      <c r="EZ1" t="e">
        <f ca="1">InpC!24:24-"VCW!$g"</f>
        <v>#VALUE!</v>
      </c>
      <c r="FA1" t="e">
        <f ca="1">InpC!25:25-"VCW!$h"</f>
        <v>#VALUE!</v>
      </c>
      <c r="FB1" t="e">
        <f ca="1">InpC!26:26-"VCW!$i"</f>
        <v>#VALUE!</v>
      </c>
      <c r="FC1" t="e">
        <f ca="1">InpC!27:27-"VCW!$j"</f>
        <v>#VALUE!</v>
      </c>
      <c r="FD1" t="e">
        <f ca="1">InpC!28:28-"VCW!$k"</f>
        <v>#VALUE!</v>
      </c>
      <c r="FE1" t="e">
        <f ca="1">InpC!29:29-"VCW!$l"</f>
        <v>#VALUE!</v>
      </c>
      <c r="FF1" t="e">
        <f ca="1">InpC!30:30-"VCW!$m"</f>
        <v>#VALUE!</v>
      </c>
      <c r="FG1" t="e">
        <f ca="1">InpC!31:31-"VCW!$n"</f>
        <v>#VALUE!</v>
      </c>
      <c r="FH1" t="e">
        <f ca="1">InpC!32:32-"VCW!$o"</f>
        <v>#VALUE!</v>
      </c>
      <c r="FI1" t="e">
        <f ca="1">InpC!33:33-"VCW!$p"</f>
        <v>#VALUE!</v>
      </c>
      <c r="FJ1" t="e">
        <f ca="1">InpC!34:34-"VCW!$q"</f>
        <v>#VALUE!</v>
      </c>
      <c r="FK1" t="e">
        <f ca="1">InpC!35:35-"VCW!$r"</f>
        <v>#VALUE!</v>
      </c>
      <c r="FL1" t="e">
        <f ca="1">InpC!36:36-"VCW!$s"</f>
        <v>#VALUE!</v>
      </c>
      <c r="FM1" t="e">
        <f ca="1">InpC!37:37-"VCW!$t"</f>
        <v>#VALUE!</v>
      </c>
      <c r="FN1" t="e">
        <f ca="1">InpC!38:38-"VCW!$u"</f>
        <v>#VALUE!</v>
      </c>
      <c r="FO1" t="e">
        <f ca="1">InpC!39:39-"VCW!$v"</f>
        <v>#VALUE!</v>
      </c>
      <c r="FP1" t="e">
        <f ca="1">InpC!40:40-"VCW!$w"</f>
        <v>#VALUE!</v>
      </c>
      <c r="FQ1" t="e">
        <f ca="1">InpC!41:41-"VCW!$x"</f>
        <v>#VALUE!</v>
      </c>
      <c r="FR1" t="e">
        <f ca="1">InpC!42:42-"VCW!$y"</f>
        <v>#VALUE!</v>
      </c>
      <c r="FS1" t="e">
        <f ca="1">InpC!43:43-"VCW!$z"</f>
        <v>#VALUE!</v>
      </c>
      <c r="FT1" t="e">
        <f ca="1">InpC!44:44-"VCW!${"</f>
        <v>#VALUE!</v>
      </c>
      <c r="FU1" t="e">
        <f ca="1">InpC!45:45-"VCW!$|"</f>
        <v>#VALUE!</v>
      </c>
      <c r="FV1" t="e">
        <f ca="1">InpC!46:46-"VCW!$}"</f>
        <v>#VALUE!</v>
      </c>
      <c r="FW1" t="e">
        <f ca="1">InpC!47:47-"VCW!$~"</f>
        <v>#VALUE!</v>
      </c>
      <c r="FX1" t="e">
        <f ca="1">InpC!48:48-"VCW!%#"</f>
        <v>#VALUE!</v>
      </c>
      <c r="FY1" t="e">
        <f ca="1">InpC!49:49-"VCW!%$"</f>
        <v>#VALUE!</v>
      </c>
      <c r="FZ1" t="e">
        <f ca="1">InpC!50:50-"VCW!%%"</f>
        <v>#VALUE!</v>
      </c>
      <c r="GA1" t="e">
        <f ca="1">InpC!51:51-"VCW!%&amp;"</f>
        <v>#VALUE!</v>
      </c>
      <c r="GB1" t="e">
        <f ca="1">InpC!52:52-"VCW!%'"</f>
        <v>#VALUE!</v>
      </c>
      <c r="GC1" t="e">
        <f ca="1">InpC!53:53-"VCW!%("</f>
        <v>#VALUE!</v>
      </c>
      <c r="GD1" t="e">
        <f ca="1">InpC!54:54-"VCW!%)"</f>
        <v>#VALUE!</v>
      </c>
      <c r="GE1" t="e">
        <f ca="1">InpC!55:55-"VCW!%."</f>
        <v>#VALUE!</v>
      </c>
      <c r="GF1" t="e">
        <f ca="1">InpC!56:56-"VCW!%/"</f>
        <v>#VALUE!</v>
      </c>
      <c r="GG1" t="e">
        <f ca="1">InpC!57:57-"VCW!%0"</f>
        <v>#VALUE!</v>
      </c>
      <c r="GH1" t="e">
        <f ca="1">InpC!58:58-"VCW!%1"</f>
        <v>#VALUE!</v>
      </c>
      <c r="GI1" t="e">
        <f ca="1">InpC!59:59-"VCW!%2"</f>
        <v>#VALUE!</v>
      </c>
      <c r="GJ1" t="e">
        <f ca="1">InpC!60:60-"VCW!%3"</f>
        <v>#VALUE!</v>
      </c>
      <c r="GK1" t="e">
        <f ca="1">InpC!61:61-"VCW!%4"</f>
        <v>#VALUE!</v>
      </c>
      <c r="GL1" t="e">
        <f ca="1">InpC!62:62-"VCW!%5"</f>
        <v>#VALUE!</v>
      </c>
      <c r="GM1" t="e">
        <f ca="1">InpC!63:63-"VCW!%6"</f>
        <v>#VALUE!</v>
      </c>
      <c r="GN1" t="e">
        <f ca="1">InpC!64:64-"VCW!%7"</f>
        <v>#VALUE!</v>
      </c>
      <c r="GO1" t="e">
        <f ca="1">InpC!65:65-"VCW!%8"</f>
        <v>#VALUE!</v>
      </c>
      <c r="GP1" t="e">
        <f ca="1">InpC!66:66-"VCW!%9"</f>
        <v>#VALUE!</v>
      </c>
      <c r="GQ1" t="e">
        <f ca="1">InpC!67:67-"VCW!%:"</f>
        <v>#VALUE!</v>
      </c>
      <c r="GR1" t="e">
        <f ca="1">InpC!68:68-"VCW!%;"</f>
        <v>#VALUE!</v>
      </c>
      <c r="GS1" t="e">
        <f ca="1">InpC!69:69-"VCW!%&lt;"</f>
        <v>#VALUE!</v>
      </c>
      <c r="GT1" t="e">
        <f ca="1">InpC!70:70-"VCW!%="</f>
        <v>#VALUE!</v>
      </c>
      <c r="GU1" t="e">
        <f ca="1">InpC!71:71-"VCW!%&gt;"</f>
        <v>#VALUE!</v>
      </c>
      <c r="GV1" t="e">
        <f ca="1">InpC!72:72-"VCW!%?"</f>
        <v>#VALUE!</v>
      </c>
      <c r="GW1" t="e">
        <f ca="1">InpC!73:73-"VCW!%@"</f>
        <v>#VALUE!</v>
      </c>
      <c r="GX1" t="e">
        <f ca="1">InpC!74:74-"VCW!%A"</f>
        <v>#VALUE!</v>
      </c>
      <c r="GY1" t="e">
        <f ca="1">InpC!75:75-"VCW!%B"</f>
        <v>#VALUE!</v>
      </c>
      <c r="GZ1" t="e">
        <f ca="1">InpC!76:76-"VCW!%C"</f>
        <v>#VALUE!</v>
      </c>
      <c r="HA1" t="e">
        <f ca="1">InpC!77:77-"VCW!%D"</f>
        <v>#VALUE!</v>
      </c>
      <c r="HB1" t="e">
        <f ca="1">InpC!78:78-"VCW!%E"</f>
        <v>#VALUE!</v>
      </c>
      <c r="HC1" t="e">
        <f ca="1">InpC!79:79-"VCW!%F"</f>
        <v>#VALUE!</v>
      </c>
      <c r="HD1" t="e">
        <f ca="1">InpC!80:80-"VCW!%G"</f>
        <v>#VALUE!</v>
      </c>
      <c r="HE1" t="e">
        <f ca="1">InpC!81:81-"VCW!%H"</f>
        <v>#VALUE!</v>
      </c>
      <c r="HF1" t="e">
        <f ca="1">InpC!82:82-"VCW!%I"</f>
        <v>#VALUE!</v>
      </c>
      <c r="HG1" t="e">
        <f ca="1">InpC!83:83-"VCW!%J"</f>
        <v>#VALUE!</v>
      </c>
      <c r="HH1" t="e">
        <f ca="1">InpC!84:84-"VCW!%K"</f>
        <v>#VALUE!</v>
      </c>
      <c r="HI1" t="e">
        <f ca="1">InpC!85:85-"VCW!%L"</f>
        <v>#VALUE!</v>
      </c>
      <c r="HJ1" t="e">
        <f ca="1">InpC!86:86-"VCW!%M"</f>
        <v>#VALUE!</v>
      </c>
      <c r="HK1" t="e">
        <f ca="1">InpC!87:87-"VCW!%N"</f>
        <v>#VALUE!</v>
      </c>
      <c r="HL1" t="e">
        <f ca="1">InpC!88:88-"VCW!%O"</f>
        <v>#VALUE!</v>
      </c>
      <c r="HM1" t="e">
        <f ca="1">InpC!89:89-"VCW!%P"</f>
        <v>#VALUE!</v>
      </c>
      <c r="HN1" t="e">
        <f ca="1">InpC!90:90-"VCW!%Q"</f>
        <v>#VALUE!</v>
      </c>
      <c r="HO1" t="e">
        <f ca="1">InpC!91:91-"VCW!%R"</f>
        <v>#VALUE!</v>
      </c>
      <c r="HP1" t="e">
        <f ca="1">InpC!92:92-"VCW!%S"</f>
        <v>#VALUE!</v>
      </c>
      <c r="HQ1" t="e">
        <f ca="1">InpC!93:93-"VCW!%T"</f>
        <v>#VALUE!</v>
      </c>
      <c r="HR1" t="e">
        <f ca="1">InpC!94:94-"VCW!%U"</f>
        <v>#VALUE!</v>
      </c>
      <c r="HS1" t="e">
        <f ca="1">InpC!95:95-"VCW!%V"</f>
        <v>#VALUE!</v>
      </c>
      <c r="HT1" t="e">
        <f ca="1">InpC!96:96-"VCW!%W"</f>
        <v>#VALUE!</v>
      </c>
      <c r="HU1" t="e">
        <f ca="1">InpC!97:97-"VCW!%X"</f>
        <v>#VALUE!</v>
      </c>
      <c r="HV1" t="e">
        <f ca="1">InpC!98:98-"VCW!%Y"</f>
        <v>#VALUE!</v>
      </c>
      <c r="HW1" t="e">
        <f ca="1">InpC!99:99-"VCW!%Z"</f>
        <v>#VALUE!</v>
      </c>
      <c r="HX1" t="e">
        <f ca="1">InpC!100:100-"VCW!%["</f>
        <v>#VALUE!</v>
      </c>
      <c r="HY1" t="e">
        <f ca="1">InpC!101:101-"VCW!%\"</f>
        <v>#VALUE!</v>
      </c>
      <c r="HZ1" t="e">
        <f ca="1">InpC!102:102-"VCW!%]"</f>
        <v>#VALUE!</v>
      </c>
      <c r="IA1" t="e">
        <f ca="1">InpC!103:103-"VCW!%^"</f>
        <v>#VALUE!</v>
      </c>
      <c r="IB1" t="e">
        <f ca="1">InpC!104:104-"VCW!%_"</f>
        <v>#VALUE!</v>
      </c>
      <c r="IC1" t="e">
        <f ca="1">InpC!105:105-"VCW!%`"</f>
        <v>#VALUE!</v>
      </c>
      <c r="ID1" t="e">
        <f ca="1">InpC!106:106-"VCW!%a"</f>
        <v>#VALUE!</v>
      </c>
      <c r="IE1" t="e">
        <f ca="1">InpC!107:107-"VCW!%b"</f>
        <v>#VALUE!</v>
      </c>
      <c r="IF1" t="e">
        <f ca="1">InpC!108:108-"VCW!%c"</f>
        <v>#VALUE!</v>
      </c>
      <c r="IG1" t="e">
        <f ca="1">InpC!109:109-"VCW!%d"</f>
        <v>#VALUE!</v>
      </c>
      <c r="IH1" t="e">
        <f ca="1">InpC!110:110-"VCW!%e"</f>
        <v>#VALUE!</v>
      </c>
      <c r="II1" t="e">
        <f ca="1">InpC!111:111-"VCW!%f"</f>
        <v>#VALUE!</v>
      </c>
      <c r="IJ1" t="e">
        <f ca="1">InpC!112:112-"VCW!%g"</f>
        <v>#VALUE!</v>
      </c>
      <c r="IK1" t="e">
        <f ca="1">InpC!113:113-"VCW!%h"</f>
        <v>#VALUE!</v>
      </c>
      <c r="IL1" t="e">
        <f ca="1">InpC!114:114-"VCW!%i"</f>
        <v>#VALUE!</v>
      </c>
      <c r="IM1" t="e">
        <f ca="1">InpC!115:115-"VCW!%j"</f>
        <v>#VALUE!</v>
      </c>
      <c r="IN1" t="e">
        <f ca="1">InpC!116:116-"VCW!%k"</f>
        <v>#VALUE!</v>
      </c>
      <c r="IO1" t="e">
        <f ca="1">InpC!117:117-"VCW!%l"</f>
        <v>#VALUE!</v>
      </c>
      <c r="IP1" t="e">
        <f ca="1">InpC!118:118-"VCW!%m"</f>
        <v>#VALUE!</v>
      </c>
      <c r="IQ1" t="e">
        <f ca="1">InpC!119:119-"VCW!%n"</f>
        <v>#VALUE!</v>
      </c>
      <c r="IR1" t="e">
        <f ca="1">InpC!120:120-"VCW!%o"</f>
        <v>#VALUE!</v>
      </c>
      <c r="IS1" t="e">
        <f ca="1">InpC!121:121-"VCW!%p"</f>
        <v>#VALUE!</v>
      </c>
      <c r="IT1" t="e">
        <f ca="1">InpC!122:122-"VCW!%q"</f>
        <v>#VALUE!</v>
      </c>
      <c r="IU1" t="e">
        <f ca="1">InpC!123:123-"VCW!%r"</f>
        <v>#VALUE!</v>
      </c>
      <c r="IV1" t="e">
        <f ca="1">InpC!124:124-"VCW!%s"</f>
        <v>#VALUE!</v>
      </c>
    </row>
    <row r="2" spans="1:256" x14ac:dyDescent="0.2">
      <c r="A2" t="s">
        <v>46</v>
      </c>
      <c r="F2" t="e">
        <f ca="1">InpC!125:125-"VCW!%t"</f>
        <v>#VALUE!</v>
      </c>
      <c r="G2" t="e">
        <f ca="1">InpC!126:126-"VCW!%u"</f>
        <v>#VALUE!</v>
      </c>
      <c r="H2" t="e">
        <f ca="1">InpC!127:127-"VCW!%v"</f>
        <v>#VALUE!</v>
      </c>
      <c r="I2" t="e">
        <f ca="1">InpC!128:128-"VCW!%w"</f>
        <v>#VALUE!</v>
      </c>
      <c r="J2" t="e">
        <f ca="1">InpC!129:129-"VCW!%x"</f>
        <v>#VALUE!</v>
      </c>
      <c r="K2" t="e">
        <f ca="1">InpC!130:130-"VCW!%y"</f>
        <v>#VALUE!</v>
      </c>
      <c r="L2" t="e">
        <f ca="1">InpC!131:131-"VCW!%z"</f>
        <v>#VALUE!</v>
      </c>
      <c r="M2" t="e">
        <f ca="1">InpC!132:132-"VCW!%{"</f>
        <v>#VALUE!</v>
      </c>
      <c r="N2" t="e">
        <f ca="1">InpC!133:133-"VCW!%|"</f>
        <v>#VALUE!</v>
      </c>
      <c r="O2" t="e">
        <f ca="1">InpC!134:134-"VCW!%}"</f>
        <v>#VALUE!</v>
      </c>
      <c r="P2" t="e">
        <f ca="1">InpC!135:135-"VCW!%~"</f>
        <v>#VALUE!</v>
      </c>
      <c r="Q2" t="e">
        <f ca="1">InpC!136:136-"VCW!&amp;#"</f>
        <v>#VALUE!</v>
      </c>
      <c r="R2" t="e">
        <f ca="1">InpC!137:137-"VCW!&amp;$"</f>
        <v>#VALUE!</v>
      </c>
      <c r="S2" t="e">
        <f ca="1">InpC!138:138-"VCW!&amp;%"</f>
        <v>#VALUE!</v>
      </c>
      <c r="T2" t="e">
        <f ca="1">InpC!139:139-"VCW!&amp;&amp;"</f>
        <v>#VALUE!</v>
      </c>
      <c r="U2" t="e">
        <f ca="1">InpC!140:140-"VCW!&amp;'"</f>
        <v>#VALUE!</v>
      </c>
      <c r="V2" t="e">
        <f ca="1">InpC!141:141-"VCW!&amp;("</f>
        <v>#VALUE!</v>
      </c>
      <c r="W2" t="e">
        <f ca="1">InpC!142:142-"VCW!&amp;)"</f>
        <v>#VALUE!</v>
      </c>
      <c r="X2" t="e">
        <f ca="1">InpC!143:143-"VCW!&amp;."</f>
        <v>#VALUE!</v>
      </c>
      <c r="Y2" t="e">
        <f ca="1">InpC!144:144-"VCW!&amp;/"</f>
        <v>#VALUE!</v>
      </c>
      <c r="Z2" t="e">
        <f ca="1">InpC!145:145-"VCW!&amp;0"</f>
        <v>#VALUE!</v>
      </c>
      <c r="AA2" t="e">
        <f ca="1">InpC!146:146-"VCW!&amp;1"</f>
        <v>#VALUE!</v>
      </c>
      <c r="AB2" t="e">
        <f ca="1">InpC!147:147-"VCW!&amp;2"</f>
        <v>#VALUE!</v>
      </c>
      <c r="AC2" t="e">
        <f ca="1">InpC!148:148-"VCW!&amp;3"</f>
        <v>#VALUE!</v>
      </c>
      <c r="AD2" t="e">
        <f ca="1">InpC!149:149-"VCW!&amp;4"</f>
        <v>#VALUE!</v>
      </c>
      <c r="AE2" t="e">
        <f ca="1">InpC!150:150-"VCW!&amp;5"</f>
        <v>#VALUE!</v>
      </c>
      <c r="AF2" t="e">
        <f ca="1">InpC!151:151-"VCW!&amp;6"</f>
        <v>#VALUE!</v>
      </c>
      <c r="AG2" t="e">
        <f ca="1">InpC!152:152-"VCW!&amp;7"</f>
        <v>#VALUE!</v>
      </c>
      <c r="AH2" t="e">
        <f ca="1">InpC!153:153-"VCW!&amp;8"</f>
        <v>#VALUE!</v>
      </c>
      <c r="AI2" t="e">
        <f ca="1">InpC!154:154-"VCW!&amp;9"</f>
        <v>#VALUE!</v>
      </c>
      <c r="AJ2" t="e">
        <f ca="1">InpC!155:155-"VCW!&amp;:"</f>
        <v>#VALUE!</v>
      </c>
      <c r="AK2" t="e">
        <f ca="1">InpC!156:156-"VCW!&amp;;"</f>
        <v>#VALUE!</v>
      </c>
      <c r="AL2" t="e">
        <f ca="1">InpC!157:157-"VCW!&amp;&lt;"</f>
        <v>#VALUE!</v>
      </c>
      <c r="AM2" t="e">
        <f ca="1">InpC!158:158-"VCW!&amp;="</f>
        <v>#VALUE!</v>
      </c>
      <c r="AN2" t="e">
        <f ca="1">InpC!159:159-"VCW!&amp;&gt;"</f>
        <v>#VALUE!</v>
      </c>
      <c r="AO2" t="e">
        <f ca="1">InpC!160:160-"VCW!&amp;?"</f>
        <v>#VALUE!</v>
      </c>
      <c r="AP2" t="e">
        <f ca="1">InpC!161:161-"VCW!&amp;@"</f>
        <v>#VALUE!</v>
      </c>
      <c r="AQ2" t="e">
        <f ca="1">InpC!162:162-"VCW!&amp;A"</f>
        <v>#VALUE!</v>
      </c>
      <c r="AR2" t="e">
        <f ca="1">InpC!163:163-"VCW!&amp;B"</f>
        <v>#VALUE!</v>
      </c>
      <c r="AS2" t="e">
        <f ca="1">InpC!164:164-"VCW!&amp;C"</f>
        <v>#VALUE!</v>
      </c>
      <c r="AT2" t="e">
        <f ca="1">InpC!165:165-"VCW!&amp;D"</f>
        <v>#VALUE!</v>
      </c>
      <c r="AU2" t="e">
        <f ca="1">InpC!166:166-"VCW!&amp;E"</f>
        <v>#VALUE!</v>
      </c>
      <c r="AV2" t="e">
        <f ca="1">InpC!167:167-"VCW!&amp;F"</f>
        <v>#VALUE!</v>
      </c>
      <c r="AW2" t="e">
        <f ca="1">InpC!168:168-"VCW!&amp;G"</f>
        <v>#VALUE!</v>
      </c>
      <c r="AX2" t="e">
        <f ca="1">InpC!169:169-"VCW!&amp;H"</f>
        <v>#VALUE!</v>
      </c>
      <c r="AY2" t="e">
        <f ca="1">InpC!170:170-"VCW!&amp;I"</f>
        <v>#VALUE!</v>
      </c>
      <c r="AZ2" t="e">
        <f ca="1">InpC!171:171-"VCW!&amp;J"</f>
        <v>#VALUE!</v>
      </c>
      <c r="BA2" t="e">
        <f ca="1">InpC!172:172-"VCW!&amp;K"</f>
        <v>#VALUE!</v>
      </c>
      <c r="BB2" t="e">
        <f ca="1">InpC!173:173-"VCW!&amp;L"</f>
        <v>#VALUE!</v>
      </c>
      <c r="BC2" t="e">
        <f ca="1">InpC!174:174-"VCW!&amp;M"</f>
        <v>#VALUE!</v>
      </c>
      <c r="BD2" t="e">
        <f ca="1">InpC!175:175-"VCW!&amp;N"</f>
        <v>#VALUE!</v>
      </c>
      <c r="BE2" t="e">
        <f ca="1">InpC!176:176-"VCW!&amp;O"</f>
        <v>#VALUE!</v>
      </c>
      <c r="BF2" t="e">
        <f ca="1">InpC!177:177-"VCW!&amp;P"</f>
        <v>#VALUE!</v>
      </c>
      <c r="BG2" t="e">
        <f ca="1">InpC!178:178-"VCW!&amp;Q"</f>
        <v>#VALUE!</v>
      </c>
      <c r="BH2" t="e">
        <f ca="1">InpC!179:179-"VCW!&amp;R"</f>
        <v>#VALUE!</v>
      </c>
      <c r="BI2" t="e">
        <f ca="1">InpC!180:180-"VCW!&amp;S"</f>
        <v>#VALUE!</v>
      </c>
      <c r="BJ2" t="e">
        <f ca="1">InpC!181:181-"VCW!&amp;T"</f>
        <v>#VALUE!</v>
      </c>
      <c r="BK2" t="e">
        <f ca="1">InpC!182:182-"VCW!&amp;U"</f>
        <v>#VALUE!</v>
      </c>
      <c r="BL2" t="e">
        <f ca="1">InpC!183:183-"VCW!&amp;V"</f>
        <v>#VALUE!</v>
      </c>
      <c r="BM2" t="e">
        <f ca="1">InpC!184:184-"VCW!&amp;W"</f>
        <v>#VALUE!</v>
      </c>
      <c r="BN2" t="e">
        <f ca="1">InpC!185:185-"VCW!&amp;X"</f>
        <v>#VALUE!</v>
      </c>
      <c r="BO2" t="e">
        <f ca="1">InpC!186:186-"VCW!&amp;Y"</f>
        <v>#VALUE!</v>
      </c>
      <c r="BP2" t="e">
        <f ca="1">InpC!187:187-"VCW!&amp;Z"</f>
        <v>#VALUE!</v>
      </c>
      <c r="BQ2" t="e">
        <f ca="1">InpC!188:188-"VCW!&amp;["</f>
        <v>#VALUE!</v>
      </c>
      <c r="BR2" t="e">
        <f ca="1">InpC!189:189-"VCW!&amp;\"</f>
        <v>#VALUE!</v>
      </c>
      <c r="BS2" t="e">
        <f ca="1">InpC!190:190-"VCW!&amp;]"</f>
        <v>#VALUE!</v>
      </c>
      <c r="BT2" t="e">
        <f ca="1">InpC!191:191-"VCW!&amp;^"</f>
        <v>#VALUE!</v>
      </c>
      <c r="BU2" t="e">
        <f ca="1">InpC!192:192-"VCW!&amp;_"</f>
        <v>#VALUE!</v>
      </c>
      <c r="BV2" t="e">
        <f ca="1">InpC!193:193-"VCW!&amp;`"</f>
        <v>#VALUE!</v>
      </c>
      <c r="BW2" t="e">
        <f ca="1">InpC!194:194-"VCW!&amp;a"</f>
        <v>#VALUE!</v>
      </c>
      <c r="BX2" t="e">
        <f ca="1">InpC!195:195-"VCW!&amp;b"</f>
        <v>#VALUE!</v>
      </c>
      <c r="BY2" t="e">
        <f ca="1">InpC!196:196-"VCW!&amp;c"</f>
        <v>#VALUE!</v>
      </c>
      <c r="BZ2" t="e">
        <f ca="1">InpC!197:197-"VCW!&amp;d"</f>
        <v>#VALUE!</v>
      </c>
      <c r="CA2" t="e">
        <f ca="1">InpC!198:198-"VCW!&amp;e"</f>
        <v>#VALUE!</v>
      </c>
      <c r="CB2" t="e">
        <f ca="1">InpC!199:199-"VCW!&amp;f"</f>
        <v>#VALUE!</v>
      </c>
      <c r="CC2" t="e">
        <f ca="1">InpC!200:200-"VCW!&amp;g"</f>
        <v>#VALUE!</v>
      </c>
      <c r="CD2" t="e">
        <f ca="1">InpC!201:201-"VCW!&amp;h"</f>
        <v>#VALUE!</v>
      </c>
      <c r="CE2" t="e">
        <f ca="1">InpC!202:202-"VCW!&amp;i"</f>
        <v>#VALUE!</v>
      </c>
      <c r="CF2" t="e">
        <f ca="1">InpC!203:203-"VCW!&amp;j"</f>
        <v>#VALUE!</v>
      </c>
      <c r="CG2" t="e">
        <f ca="1">InpC!204:204-"VCW!&amp;k"</f>
        <v>#VALUE!</v>
      </c>
      <c r="CH2" t="e">
        <f ca="1">InpC!205:205-"VCW!&amp;l"</f>
        <v>#VALUE!</v>
      </c>
      <c r="CI2" t="e">
        <f ca="1">InpC!206:206-"VCW!&amp;m"</f>
        <v>#VALUE!</v>
      </c>
      <c r="CJ2" t="e">
        <f ca="1">InpC!207:207-"VCW!&amp;n"</f>
        <v>#VALUE!</v>
      </c>
      <c r="CK2" t="e">
        <f ca="1">InpC!208:208-"VCW!&amp;o"</f>
        <v>#VALUE!</v>
      </c>
      <c r="CL2" t="e">
        <f ca="1">InpC!209:209-"VCW!&amp;p"</f>
        <v>#VALUE!</v>
      </c>
      <c r="CM2" t="e">
        <f ca="1">InpC!210:210-"VCW!&amp;q"</f>
        <v>#VALUE!</v>
      </c>
      <c r="CN2" t="e">
        <f ca="1">InpC!211:211-"VCW!&amp;r"</f>
        <v>#VALUE!</v>
      </c>
      <c r="CO2" t="e">
        <f ca="1">InpC!212:212-"VCW!&amp;s"</f>
        <v>#VALUE!</v>
      </c>
      <c r="CP2" t="e">
        <f ca="1">InpC!213:213-"VCW!&amp;t"</f>
        <v>#VALUE!</v>
      </c>
      <c r="CQ2" t="e">
        <f ca="1">InpC!214:214-"VCW!&amp;u"</f>
        <v>#VALUE!</v>
      </c>
      <c r="CR2" t="e">
        <f ca="1">InpC!215:215-"VCW!&amp;v"</f>
        <v>#VALUE!</v>
      </c>
      <c r="CS2" t="e">
        <f ca="1">InpC!216:216-"VCW!&amp;w"</f>
        <v>#VALUE!</v>
      </c>
      <c r="CT2" t="e">
        <f ca="1">InpC!217:217-"VCW!&amp;x"</f>
        <v>#VALUE!</v>
      </c>
      <c r="CU2" t="e">
        <f ca="1">InpC!218:218-"VCW!&amp;y"</f>
        <v>#VALUE!</v>
      </c>
      <c r="CV2" t="e">
        <f ca="1">InpC!219:219-"VCW!&amp;z"</f>
        <v>#VALUE!</v>
      </c>
      <c r="CW2" t="e">
        <f ca="1">InpC!220:220-"VCW!&amp;{"</f>
        <v>#VALUE!</v>
      </c>
      <c r="CX2" t="e">
        <f ca="1">InpC!221:221-"VCW!&amp;|"</f>
        <v>#VALUE!</v>
      </c>
      <c r="CY2" t="e">
        <f ca="1">InpC!222:222-"VCW!&amp;}"</f>
        <v>#VALUE!</v>
      </c>
      <c r="CZ2" t="e">
        <f ca="1">InpC!A1+"VCW!&amp;~"</f>
        <v>#VALUE!</v>
      </c>
      <c r="DA2" t="e">
        <f ca="1">InpC!B1+"VCW!'#"</f>
        <v>#VALUE!</v>
      </c>
      <c r="DB2" t="e">
        <f ca="1">InpC!C1+"VCW!'$"</f>
        <v>#VALUE!</v>
      </c>
      <c r="DC2" t="e">
        <f ca="1">InpC!D1+"VCW!'%"</f>
        <v>#VALUE!</v>
      </c>
      <c r="DD2" t="e">
        <f ca="1">InpC!E1+"VCW!'&amp;"</f>
        <v>#VALUE!</v>
      </c>
      <c r="DE2" t="e">
        <f ca="1">InpC!F1+"VCW!''"</f>
        <v>#VALUE!</v>
      </c>
      <c r="DF2" t="e">
        <f ca="1">InpC!G1+"VCW!'("</f>
        <v>#VALUE!</v>
      </c>
      <c r="DG2" t="e">
        <f ca="1">InpC!H1+"VCW!')"</f>
        <v>#VALUE!</v>
      </c>
      <c r="DH2" t="e">
        <f ca="1">InpC!I1+"VCW!'."</f>
        <v>#VALUE!</v>
      </c>
      <c r="DI2" t="e">
        <f ca="1">InpC!J1+"VCW!'/"</f>
        <v>#VALUE!</v>
      </c>
      <c r="DJ2" t="e">
        <f ca="1">InpC!K1+"VCW!'0"</f>
        <v>#VALUE!</v>
      </c>
      <c r="DK2" t="e">
        <f ca="1">InpC!L1+"VCW!'1"</f>
        <v>#VALUE!</v>
      </c>
      <c r="DL2" t="e">
        <f ca="1">InpC!M1+"VCW!'2"</f>
        <v>#VALUE!</v>
      </c>
      <c r="DM2" t="e">
        <f ca="1">InpC!N1+"VCW!'3"</f>
        <v>#VALUE!</v>
      </c>
      <c r="DN2" t="e">
        <f ca="1">InpC!O1+"VCW!'4"</f>
        <v>#VALUE!</v>
      </c>
      <c r="DO2" t="e">
        <f ca="1">InpC!P1+"VCW!'5"</f>
        <v>#VALUE!</v>
      </c>
      <c r="DP2" t="e">
        <f ca="1">InpC!Q1+"VCW!'6"</f>
        <v>#VALUE!</v>
      </c>
      <c r="DQ2" t="e">
        <f ca="1">InpC!R1+"VCW!'7"</f>
        <v>#VALUE!</v>
      </c>
      <c r="DR2" t="e">
        <f ca="1">InpC!S1+"VCW!'8"</f>
        <v>#VALUE!</v>
      </c>
      <c r="DS2" t="e">
        <f ca="1">InpC!T1+"VCW!'9"</f>
        <v>#VALUE!</v>
      </c>
      <c r="DT2" t="e">
        <f ca="1">InpC!U1+"VCW!':"</f>
        <v>#VALUE!</v>
      </c>
      <c r="DU2" t="e">
        <f ca="1">InpC!V1+"VCW!';"</f>
        <v>#VALUE!</v>
      </c>
      <c r="DV2" t="e">
        <f ca="1">InpC!W1+"VCW!'&lt;"</f>
        <v>#VALUE!</v>
      </c>
      <c r="DW2" t="e">
        <f ca="1">InpC!X1+"VCW!'="</f>
        <v>#VALUE!</v>
      </c>
      <c r="DX2" t="e">
        <f ca="1">InpC!Y1+"VCW!'&gt;"</f>
        <v>#VALUE!</v>
      </c>
      <c r="DY2" t="e">
        <f ca="1">InpC!Z1+"VCW!'?"</f>
        <v>#VALUE!</v>
      </c>
      <c r="DZ2" t="e">
        <f ca="1">InpC!AA1+"VCW!'@"</f>
        <v>#VALUE!</v>
      </c>
      <c r="EA2" t="e">
        <f ca="1">InpC!AB1+"VCW!'A"</f>
        <v>#VALUE!</v>
      </c>
      <c r="EB2" t="e">
        <f ca="1">InpC!AC1+"VCW!'B"</f>
        <v>#VALUE!</v>
      </c>
      <c r="EC2" t="e">
        <f ca="1">InpC!AD1+"VCW!'C"</f>
        <v>#VALUE!</v>
      </c>
      <c r="ED2" t="e">
        <f ca="1">InpC!AE1+"VCW!'D"</f>
        <v>#VALUE!</v>
      </c>
      <c r="EE2" t="e">
        <f ca="1">InpC!AF1+"VCW!'E"</f>
        <v>#VALUE!</v>
      </c>
      <c r="EF2" t="e">
        <f ca="1">InpC!AG1+"VCW!'F"</f>
        <v>#VALUE!</v>
      </c>
      <c r="EG2" t="e">
        <f ca="1">InpC!AH1+"VCW!'G"</f>
        <v>#VALUE!</v>
      </c>
      <c r="EH2" t="e">
        <f ca="1">InpC!AI1+"VCW!'H"</f>
        <v>#VALUE!</v>
      </c>
      <c r="EI2" t="e">
        <f ca="1">InpC!AJ1+"VCW!'I"</f>
        <v>#VALUE!</v>
      </c>
      <c r="EJ2" t="e">
        <f ca="1">InpC!AK1+"VCW!'J"</f>
        <v>#VALUE!</v>
      </c>
      <c r="EK2" t="e">
        <f ca="1">InpC!AL1+"VCW!'K"</f>
        <v>#VALUE!</v>
      </c>
      <c r="EL2" t="e">
        <f ca="1">InpC!AM1+"VCW!'L"</f>
        <v>#VALUE!</v>
      </c>
      <c r="EM2" t="e">
        <f ca="1">InpC!AN1+"VCW!'M"</f>
        <v>#VALUE!</v>
      </c>
      <c r="EN2" t="e">
        <f ca="1">InpC!AO1+"VCW!'N"</f>
        <v>#VALUE!</v>
      </c>
      <c r="EO2" t="e">
        <f ca="1">InpC!AP1+"VCW!'O"</f>
        <v>#VALUE!</v>
      </c>
      <c r="EP2" t="e">
        <f ca="1">InpC!AQ1+"VCW!'P"</f>
        <v>#VALUE!</v>
      </c>
      <c r="EQ2" t="e">
        <f ca="1">InpC!AR1+"VCW!'Q"</f>
        <v>#VALUE!</v>
      </c>
      <c r="ER2" t="e">
        <f ca="1">InpC!AS1+"VCW!'R"</f>
        <v>#VALUE!</v>
      </c>
      <c r="ES2" t="e">
        <f ca="1">InpC!AT1+"VCW!'S"</f>
        <v>#VALUE!</v>
      </c>
      <c r="ET2" t="e">
        <f ca="1">InpC!AU1+"VCW!'T"</f>
        <v>#VALUE!</v>
      </c>
      <c r="EU2" t="e">
        <f ca="1">InpC!AV1+"VCW!'U"</f>
        <v>#VALUE!</v>
      </c>
      <c r="EV2" t="e">
        <f ca="1">InpC!AW1+"VCW!'V"</f>
        <v>#VALUE!</v>
      </c>
      <c r="EW2" t="e">
        <f ca="1">InpC!AX1+"VCW!'W"</f>
        <v>#VALUE!</v>
      </c>
      <c r="EX2" t="e">
        <f ca="1">InpC!AY1+"VCW!'X"</f>
        <v>#VALUE!</v>
      </c>
      <c r="EY2" t="e">
        <f ca="1">InpC!AZ1+"VCW!'Y"</f>
        <v>#VALUE!</v>
      </c>
      <c r="EZ2" t="e">
        <f ca="1">InpC!BA1+"VCW!'Z"</f>
        <v>#VALUE!</v>
      </c>
      <c r="FA2" t="e">
        <f ca="1">InpC!BB1+"VCW!'["</f>
        <v>#VALUE!</v>
      </c>
      <c r="FB2" t="e">
        <f ca="1">InpC!BC1+"VCW!'\"</f>
        <v>#VALUE!</v>
      </c>
      <c r="FC2" t="e">
        <f ca="1">InpC!BD1+"VCW!']"</f>
        <v>#VALUE!</v>
      </c>
      <c r="FD2" t="e">
        <f ca="1">InpC!BE1+"VCW!'^"</f>
        <v>#VALUE!</v>
      </c>
      <c r="FE2" t="e">
        <f ca="1">InpC!BF1+"VCW!'_"</f>
        <v>#VALUE!</v>
      </c>
      <c r="FF2" t="e">
        <f ca="1">InpC!BG1+"VCW!'`"</f>
        <v>#VALUE!</v>
      </c>
      <c r="FG2" t="e">
        <f ca="1">InpC!BH1+"VCW!'a"</f>
        <v>#VALUE!</v>
      </c>
      <c r="FH2" t="e">
        <f ca="1">InpC!BI1+"VCW!'b"</f>
        <v>#VALUE!</v>
      </c>
      <c r="FI2" t="e">
        <f ca="1">InpC!BJ1+"VCW!'c"</f>
        <v>#VALUE!</v>
      </c>
      <c r="FJ2" t="e">
        <f ca="1">InpC!BK1+"VCW!'d"</f>
        <v>#VALUE!</v>
      </c>
      <c r="FK2" t="e">
        <f ca="1">InpC!BL1+"VCW!'e"</f>
        <v>#VALUE!</v>
      </c>
      <c r="FL2" t="e">
        <f ca="1">InpC!BM1+"VCW!'f"</f>
        <v>#VALUE!</v>
      </c>
      <c r="FM2" t="e">
        <f ca="1">InpC!BN1+"VCW!'g"</f>
        <v>#VALUE!</v>
      </c>
      <c r="FN2" t="e">
        <f ca="1">InpC!BO1+"VCW!'h"</f>
        <v>#VALUE!</v>
      </c>
      <c r="FO2" t="e">
        <f ca="1">InpC!BP1+"VCW!'i"</f>
        <v>#VALUE!</v>
      </c>
      <c r="FP2" t="e">
        <f ca="1">InpC!BQ1+"VCW!'j"</f>
        <v>#VALUE!</v>
      </c>
      <c r="FQ2" t="e">
        <f ca="1">InpC!BR1+"VCW!'k"</f>
        <v>#VALUE!</v>
      </c>
      <c r="FR2" t="e">
        <f ca="1">InpC!BS1+"VCW!'l"</f>
        <v>#VALUE!</v>
      </c>
      <c r="FS2" t="e">
        <f ca="1">InpC!BT1+"VCW!'m"</f>
        <v>#VALUE!</v>
      </c>
      <c r="FT2" t="e">
        <f ca="1">InpC!BU1+"VCW!'n"</f>
        <v>#VALUE!</v>
      </c>
      <c r="FU2" t="e">
        <f ca="1">InpC!BV1+"VCW!'o"</f>
        <v>#VALUE!</v>
      </c>
      <c r="FV2" t="e">
        <f ca="1">InpC!BW1+"VCW!'p"</f>
        <v>#VALUE!</v>
      </c>
      <c r="FW2" t="e">
        <f ca="1">InpC!BX1+"VCW!'q"</f>
        <v>#VALUE!</v>
      </c>
      <c r="FX2" t="e">
        <f ca="1">InpC!BY1+"VCW!'r"</f>
        <v>#VALUE!</v>
      </c>
      <c r="FY2" t="e">
        <f ca="1">InpC!A2+"VCW!'s"</f>
        <v>#VALUE!</v>
      </c>
      <c r="FZ2" t="e">
        <f ca="1">InpC!B2+"VCW!'t"</f>
        <v>#VALUE!</v>
      </c>
      <c r="GA2" t="e">
        <f ca="1">InpC!C2+"VCW!'u"</f>
        <v>#VALUE!</v>
      </c>
      <c r="GB2" t="e">
        <f ca="1">InpC!D2+"VCW!'v"</f>
        <v>#VALUE!</v>
      </c>
      <c r="GC2" t="e">
        <f ca="1">InpC!F2+"VCW!'w"</f>
        <v>#VALUE!</v>
      </c>
      <c r="GD2" t="e">
        <f ca="1">InpC!G2+"VCW!'x"</f>
        <v>#VALUE!</v>
      </c>
      <c r="GE2" t="e">
        <f ca="1">InpC!H2+"VCW!'y"</f>
        <v>#VALUE!</v>
      </c>
      <c r="GF2" t="e">
        <f ca="1">InpC!A3+"VCW!'z"</f>
        <v>#VALUE!</v>
      </c>
      <c r="GG2" t="e">
        <f ca="1">InpC!B3+"VCW!'{"</f>
        <v>#VALUE!</v>
      </c>
      <c r="GH2" t="e">
        <f ca="1">InpC!C3+"VCW!'|"</f>
        <v>#VALUE!</v>
      </c>
      <c r="GI2" t="e">
        <f ca="1">InpC!D3+"VCW!'}"</f>
        <v>#VALUE!</v>
      </c>
      <c r="GJ2" t="e">
        <f ca="1">InpC!F3+"VCW!'~"</f>
        <v>#VALUE!</v>
      </c>
      <c r="GK2" t="e">
        <f ca="1">InpC!G3+"VCW!(#"</f>
        <v>#VALUE!</v>
      </c>
      <c r="GL2" t="e">
        <f ca="1">InpC!H3+"VCW!($"</f>
        <v>#VALUE!</v>
      </c>
      <c r="GM2" t="e">
        <f ca="1">InpC!A4+"VCW!(%"</f>
        <v>#VALUE!</v>
      </c>
      <c r="GN2" t="e">
        <f ca="1">InpC!B4+"VCW!(&amp;"</f>
        <v>#VALUE!</v>
      </c>
      <c r="GO2" t="e">
        <f ca="1">InpC!C4+"VCW!('"</f>
        <v>#VALUE!</v>
      </c>
      <c r="GP2" t="e">
        <f ca="1">InpC!D4+"VCW!(("</f>
        <v>#VALUE!</v>
      </c>
      <c r="GQ2" t="e">
        <f ca="1">InpC!F4+"VCW!()"</f>
        <v>#VALUE!</v>
      </c>
      <c r="GR2" t="e">
        <f ca="1">InpC!G4+"VCW!(."</f>
        <v>#VALUE!</v>
      </c>
      <c r="GS2" t="e">
        <f ca="1">InpC!H4+"VCW!(/"</f>
        <v>#VALUE!</v>
      </c>
      <c r="GT2" t="e">
        <f ca="1">InpC!C5+"VCW!(0"</f>
        <v>#VALUE!</v>
      </c>
      <c r="GU2" t="e">
        <f ca="1">InpC!D5+"VCW!(1"</f>
        <v>#VALUE!</v>
      </c>
      <c r="GV2" t="e">
        <f ca="1">InpC!E5+"VCW!(2"</f>
        <v>#VALUE!</v>
      </c>
      <c r="GW2" t="e">
        <f ca="1">InpC!F5+"VCW!(3"</f>
        <v>#VALUE!</v>
      </c>
      <c r="GX2" t="e">
        <f ca="1">InpC!G5+"VCW!(4"</f>
        <v>#VALUE!</v>
      </c>
      <c r="GY2" t="e">
        <f ca="1">InpC!H5+"VCW!(5"</f>
        <v>#VALUE!</v>
      </c>
      <c r="GZ2" t="e">
        <f ca="1">InpC!A7+"VCW!(6"</f>
        <v>#VALUE!</v>
      </c>
      <c r="HA2" t="e">
        <f ca="1">InpC!A9+"VCW!(7"</f>
        <v>#VALUE!</v>
      </c>
      <c r="HB2" t="e">
        <f ca="1">InpC!B9+"VCW!(8"</f>
        <v>#VALUE!</v>
      </c>
      <c r="HC2" t="e">
        <f ca="1">InpC!C9+"VCW!(9"</f>
        <v>#VALUE!</v>
      </c>
      <c r="HD2" t="e">
        <f ca="1">InpC!D9+"VCW!(:"</f>
        <v>#VALUE!</v>
      </c>
      <c r="HE2" t="e">
        <f ca="1">InpC!E9+"VCW!(;"</f>
        <v>#VALUE!</v>
      </c>
      <c r="HF2" t="e">
        <f ca="1">InpC!F9+"VCW!(&lt;"</f>
        <v>#VALUE!</v>
      </c>
      <c r="HG2" t="e">
        <f ca="1">InpC!G9+"VCW!(="</f>
        <v>#VALUE!</v>
      </c>
      <c r="HH2" t="e">
        <f ca="1">InpC!E11+"VCW!(&gt;"</f>
        <v>#VALUE!</v>
      </c>
      <c r="HI2" t="e">
        <f ca="1">InpC!F11+"VCW!(?"</f>
        <v>#VALUE!</v>
      </c>
      <c r="HJ2" t="e">
        <f ca="1">InpC!G11+"VCW!(@"</f>
        <v>#VALUE!</v>
      </c>
      <c r="HK2" t="e">
        <f ca="1">InpC!A13+"VCW!(A"</f>
        <v>#VALUE!</v>
      </c>
      <c r="HL2" t="e">
        <f ca="1">InpC!B13+"VCW!(B"</f>
        <v>#VALUE!</v>
      </c>
      <c r="HM2" t="e">
        <f ca="1">InpC!C13+"VCW!(C"</f>
        <v>#VALUE!</v>
      </c>
      <c r="HN2" t="e">
        <f ca="1">InpC!D13+"VCW!(D"</f>
        <v>#VALUE!</v>
      </c>
      <c r="HO2" t="e">
        <f ca="1">InpC!E13+"VCW!(E"</f>
        <v>#VALUE!</v>
      </c>
      <c r="HP2" t="e">
        <f ca="1">InpC!F13+"VCW!(F"</f>
        <v>#VALUE!</v>
      </c>
      <c r="HQ2" t="e">
        <f ca="1">InpC!G13+"VCW!(G"</f>
        <v>#VALUE!</v>
      </c>
      <c r="HR2" t="e">
        <f ca="1">InpC!A14+"VCW!(H"</f>
        <v>#VALUE!</v>
      </c>
      <c r="HS2" t="e">
        <f ca="1">InpC!B14+"VCW!(I"</f>
        <v>#VALUE!</v>
      </c>
      <c r="HT2" t="e">
        <f ca="1">InpC!C14+"VCW!(J"</f>
        <v>#VALUE!</v>
      </c>
      <c r="HU2" t="e">
        <f ca="1">InpC!D14+"VCW!(K"</f>
        <v>#VALUE!</v>
      </c>
      <c r="HV2" t="e">
        <f ca="1">InpC!E14+"VCW!(L"</f>
        <v>#VALUE!</v>
      </c>
      <c r="HW2" t="e">
        <f ca="1">InpC!F14+"VCW!(M"</f>
        <v>#VALUE!</v>
      </c>
      <c r="HX2" t="e">
        <f ca="1">InpC!G14+"VCW!(N"</f>
        <v>#VALUE!</v>
      </c>
      <c r="HY2" t="e">
        <f ca="1">InpC!E16+"VCW!(O"</f>
        <v>#VALUE!</v>
      </c>
      <c r="HZ2" t="e">
        <f ca="1">InpC!F16+"VCW!(P"</f>
        <v>#VALUE!</v>
      </c>
      <c r="IA2" t="e">
        <f ca="1">InpC!G16+"VCW!(Q"</f>
        <v>#VALUE!</v>
      </c>
      <c r="IB2" t="e">
        <f ca="1">InpC!H16+"VCW!(R"</f>
        <v>#VALUE!</v>
      </c>
      <c r="IC2" t="e">
        <f ca="1">InpC!I16+"VCW!(S"</f>
        <v>#VALUE!</v>
      </c>
      <c r="ID2" t="e">
        <f ca="1">InpC!J16+"VCW!(T"</f>
        <v>#VALUE!</v>
      </c>
      <c r="IE2" t="e">
        <f ca="1">InpC!K16+"VCW!(U"</f>
        <v>#VALUE!</v>
      </c>
      <c r="IF2" t="e">
        <f ca="1">InpC!L16+"VCW!(V"</f>
        <v>#VALUE!</v>
      </c>
      <c r="IG2" t="e">
        <f ca="1">InpC!M16+"VCW!(W"</f>
        <v>#VALUE!</v>
      </c>
      <c r="IH2" t="e">
        <f ca="1">InpC!N16+"VCW!(X"</f>
        <v>#VALUE!</v>
      </c>
      <c r="II2" t="e">
        <f ca="1">InpC!O16+"VCW!(Y"</f>
        <v>#VALUE!</v>
      </c>
      <c r="IJ2" t="e">
        <f ca="1">InpC!P16+"VCW!(Z"</f>
        <v>#VALUE!</v>
      </c>
      <c r="IK2" t="e">
        <f ca="1">InpC!Q16+"VCW!(["</f>
        <v>#VALUE!</v>
      </c>
      <c r="IL2" t="e">
        <f ca="1">InpC!R16+"VCW!(\"</f>
        <v>#VALUE!</v>
      </c>
      <c r="IM2" t="e">
        <f ca="1">InpC!S16+"VCW!(]"</f>
        <v>#VALUE!</v>
      </c>
      <c r="IN2" t="e">
        <f ca="1">InpC!T16+"VCW!(^"</f>
        <v>#VALUE!</v>
      </c>
      <c r="IO2" t="e">
        <f ca="1">InpC!U16+"VCW!(_"</f>
        <v>#VALUE!</v>
      </c>
      <c r="IP2" t="e">
        <f ca="1">InpC!V16+"VCW!(`"</f>
        <v>#VALUE!</v>
      </c>
      <c r="IQ2" t="e">
        <f ca="1">InpC!W16+"VCW!(a"</f>
        <v>#VALUE!</v>
      </c>
      <c r="IR2" t="e">
        <f ca="1">InpC!X16+"VCW!(b"</f>
        <v>#VALUE!</v>
      </c>
      <c r="IS2" t="e">
        <f ca="1">InpC!Y16+"VCW!(c"</f>
        <v>#VALUE!</v>
      </c>
      <c r="IT2" t="e">
        <f ca="1">InpC!Z16+"VCW!(d"</f>
        <v>#VALUE!</v>
      </c>
      <c r="IU2" t="e">
        <f ca="1">InpC!AA16+"VCW!(e"</f>
        <v>#VALUE!</v>
      </c>
      <c r="IV2" t="e">
        <f ca="1">InpC!E17+"VCW!(f"</f>
        <v>#VALUE!</v>
      </c>
    </row>
    <row r="3" spans="1:256" x14ac:dyDescent="0.2">
      <c r="A3" t="s">
        <v>47</v>
      </c>
      <c r="F3" t="e">
        <f ca="1">InpC!F17+"VCW!(g"</f>
        <v>#VALUE!</v>
      </c>
      <c r="G3" t="e">
        <f ca="1">InpC!G17+"VCW!(h"</f>
        <v>#VALUE!</v>
      </c>
      <c r="H3" t="e">
        <f ca="1">InpC!M22+"VCW!(i"</f>
        <v>#VALUE!</v>
      </c>
      <c r="I3" t="e">
        <f ca="1">Time!A:A*"VCW!(j"</f>
        <v>#VALUE!</v>
      </c>
      <c r="J3" t="e">
        <f ca="1">Time!B:B*"VCW!(k"</f>
        <v>#VALUE!</v>
      </c>
      <c r="K3" t="e">
        <f ca="1">Time!C:C*"VCW!(l"</f>
        <v>#VALUE!</v>
      </c>
      <c r="L3" t="e">
        <f ca="1">Time!D:D*"VCW!(m"</f>
        <v>#VALUE!</v>
      </c>
      <c r="M3" t="e">
        <f ca="1">Time!E:E*"VCW!(n"</f>
        <v>#VALUE!</v>
      </c>
      <c r="N3" t="e">
        <f ca="1">Time!F:F*"VCW!(o"</f>
        <v>#VALUE!</v>
      </c>
      <c r="O3" t="e">
        <f ca="1">Time!G:G*"VCW!(p"</f>
        <v>#VALUE!</v>
      </c>
      <c r="P3" t="e">
        <f ca="1">Time!H:H*"VCW!(q"</f>
        <v>#VALUE!</v>
      </c>
      <c r="Q3" t="e">
        <f ca="1">Time!I:I*"VCW!(r"</f>
        <v>#VALUE!</v>
      </c>
      <c r="R3" t="e">
        <f ca="1">Time!J:J*"VCW!(s"</f>
        <v>#VALUE!</v>
      </c>
      <c r="S3" t="e">
        <f ca="1">Time!K:K*"VCW!(t"</f>
        <v>#VALUE!</v>
      </c>
      <c r="T3" t="e">
        <f ca="1">Time!L:L*"VCW!(u"</f>
        <v>#VALUE!</v>
      </c>
      <c r="U3" t="e">
        <f ca="1">Time!M:M*"VCW!(v"</f>
        <v>#VALUE!</v>
      </c>
      <c r="V3" t="e">
        <f ca="1">Time!N:N*"VCW!(w"</f>
        <v>#VALUE!</v>
      </c>
      <c r="W3" t="e">
        <f ca="1">Time!O:O*"VCW!(x"</f>
        <v>#VALUE!</v>
      </c>
      <c r="X3" t="e">
        <f ca="1">Time!P:P*"VCW!(y"</f>
        <v>#VALUE!</v>
      </c>
      <c r="Y3" t="e">
        <f ca="1">Time!Q:Q*"VCW!(z"</f>
        <v>#VALUE!</v>
      </c>
      <c r="Z3" t="e">
        <f ca="1">Time!R:R*"VCW!({"</f>
        <v>#VALUE!</v>
      </c>
      <c r="AA3" t="e">
        <f ca="1">Time!S:S*"VCW!(|"</f>
        <v>#VALUE!</v>
      </c>
      <c r="AB3" t="e">
        <f ca="1">Time!T:T*"VCW!(}"</f>
        <v>#VALUE!</v>
      </c>
      <c r="AC3" t="e">
        <f ca="1">Time!U:U*"VCW!(~"</f>
        <v>#VALUE!</v>
      </c>
      <c r="AD3" t="e">
        <f ca="1">Time!V:V*"VCW!)#"</f>
        <v>#VALUE!</v>
      </c>
      <c r="AE3" t="e">
        <f ca="1">Time!W:W*"VCW!)$"</f>
        <v>#VALUE!</v>
      </c>
      <c r="AF3" t="e">
        <f ca="1">Time!X:X*"VCW!)%"</f>
        <v>#VALUE!</v>
      </c>
      <c r="AG3" t="e">
        <f ca="1">Time!Y:Y*"VCW!)&amp;"</f>
        <v>#VALUE!</v>
      </c>
      <c r="AH3" t="e">
        <f ca="1">Time!Z:Z*"VCW!)'"</f>
        <v>#VALUE!</v>
      </c>
      <c r="AI3" t="e">
        <f ca="1">Time!AA:AA*"VCW!)("</f>
        <v>#VALUE!</v>
      </c>
      <c r="AJ3" t="e">
        <f ca="1">Time!AB:AB*"VCW!))"</f>
        <v>#VALUE!</v>
      </c>
      <c r="AK3" t="e">
        <f ca="1">Time!AC:AC*"VCW!)."</f>
        <v>#VALUE!</v>
      </c>
      <c r="AL3" t="e">
        <f ca="1">Time!AD:AD*"VCW!)/"</f>
        <v>#VALUE!</v>
      </c>
      <c r="AM3" t="e">
        <f ca="1">Time!AE:AE*"VCW!)0"</f>
        <v>#VALUE!</v>
      </c>
      <c r="AN3" t="e">
        <f ca="1">Time!AF:AF*"VCW!)1"</f>
        <v>#VALUE!</v>
      </c>
      <c r="AO3" t="e">
        <f ca="1">Time!AG:AG*"VCW!)2"</f>
        <v>#VALUE!</v>
      </c>
      <c r="AP3" t="e">
        <f ca="1">Time!AH:AH*"VCW!)3"</f>
        <v>#VALUE!</v>
      </c>
      <c r="AQ3" t="e">
        <f ca="1">Time!AI:AI*"VCW!)4"</f>
        <v>#VALUE!</v>
      </c>
      <c r="AR3" t="e">
        <f ca="1">Time!AJ:AJ*"VCW!)5"</f>
        <v>#VALUE!</v>
      </c>
      <c r="AS3" t="e">
        <f ca="1">Time!AK:AK*"VCW!)6"</f>
        <v>#VALUE!</v>
      </c>
      <c r="AT3" t="e">
        <f ca="1">Time!AL:AL*"VCW!)7"</f>
        <v>#VALUE!</v>
      </c>
      <c r="AU3" t="e">
        <f ca="1">Time!AM:AM*"VCW!)8"</f>
        <v>#VALUE!</v>
      </c>
      <c r="AV3" t="e">
        <f ca="1">Time!AN:AN*"VCW!)9"</f>
        <v>#VALUE!</v>
      </c>
      <c r="AW3" t="e">
        <f ca="1">Time!AO:AO*"VCW!):"</f>
        <v>#VALUE!</v>
      </c>
      <c r="AX3" t="e">
        <f ca="1">Time!AP:AP*"VCW!);"</f>
        <v>#VALUE!</v>
      </c>
      <c r="AY3" t="e">
        <f ca="1">Time!AQ:AQ*"VCW!)&lt;"</f>
        <v>#VALUE!</v>
      </c>
      <c r="AZ3" t="e">
        <f ca="1">Time!AR:AR*"VCW!)="</f>
        <v>#VALUE!</v>
      </c>
      <c r="BA3" t="e">
        <f ca="1">Time!AS:AS*"VCW!)&gt;"</f>
        <v>#VALUE!</v>
      </c>
      <c r="BB3" t="e">
        <f ca="1">Time!AT:AT*"VCW!)?"</f>
        <v>#VALUE!</v>
      </c>
      <c r="BC3" t="e">
        <f ca="1">Time!AU:AU*"VCW!)@"</f>
        <v>#VALUE!</v>
      </c>
      <c r="BD3" t="e">
        <f ca="1">Time!AV:AV*"VCW!)A"</f>
        <v>#VALUE!</v>
      </c>
      <c r="BE3" t="e">
        <f ca="1">Time!AW:AW*"VCW!)B"</f>
        <v>#VALUE!</v>
      </c>
      <c r="BF3" t="e">
        <f ca="1">Time!AX:AX*"VCW!)C"</f>
        <v>#VALUE!</v>
      </c>
      <c r="BG3" t="e">
        <f ca="1">Time!AY:AY*"VCW!)D"</f>
        <v>#VALUE!</v>
      </c>
      <c r="BH3" t="e">
        <f ca="1">Time!AZ:AZ*"VCW!)E"</f>
        <v>#VALUE!</v>
      </c>
      <c r="BI3" t="e">
        <f ca="1">Time!BA:BA*"VCW!)F"</f>
        <v>#VALUE!</v>
      </c>
      <c r="BJ3" t="e">
        <f ca="1">Time!BB:BB*"VCW!)G"</f>
        <v>#VALUE!</v>
      </c>
      <c r="BK3" t="e">
        <f ca="1">Time!BC:BC*"VCW!)H"</f>
        <v>#VALUE!</v>
      </c>
      <c r="BL3" t="e">
        <f ca="1">Time!BD:BD*"VCW!)I"</f>
        <v>#VALUE!</v>
      </c>
      <c r="BM3" t="e">
        <f ca="1">Time!BE:BE*"VCW!)J"</f>
        <v>#VALUE!</v>
      </c>
      <c r="BN3" t="e">
        <f ca="1">Time!BF:BF*"VCW!)K"</f>
        <v>#VALUE!</v>
      </c>
      <c r="BO3" t="e">
        <f ca="1">Time!BG:BG*"VCW!)L"</f>
        <v>#VALUE!</v>
      </c>
      <c r="BP3" t="e">
        <f ca="1">Time!BH:BH*"VCW!)M"</f>
        <v>#VALUE!</v>
      </c>
      <c r="BQ3" t="e">
        <f ca="1">Time!BI:BI*"VCW!)N"</f>
        <v>#VALUE!</v>
      </c>
      <c r="BR3" t="e">
        <f ca="1">Time!BJ:BJ*"VCW!)O"</f>
        <v>#VALUE!</v>
      </c>
      <c r="BS3" t="e">
        <f ca="1">Time!BK:BK*"VCW!)P"</f>
        <v>#VALUE!</v>
      </c>
      <c r="BT3" t="e">
        <f ca="1">Time!BL:BL*"VCW!)Q"</f>
        <v>#VALUE!</v>
      </c>
      <c r="BU3" t="e">
        <f ca="1">Time!BM:BM*"VCW!)R"</f>
        <v>#VALUE!</v>
      </c>
      <c r="BV3" t="e">
        <f ca="1">Time!BN:BN*"VCW!)S"</f>
        <v>#VALUE!</v>
      </c>
      <c r="BW3" t="e">
        <f ca="1">Time!BO:BO*"VCW!)T"</f>
        <v>#VALUE!</v>
      </c>
      <c r="BX3" t="e">
        <f ca="1">Time!BP:BP*"VCW!)U"</f>
        <v>#VALUE!</v>
      </c>
      <c r="BY3" t="e">
        <f ca="1">Time!BQ:BQ*"VCW!)V"</f>
        <v>#VALUE!</v>
      </c>
      <c r="BZ3" t="e">
        <f ca="1">Time!BR:BR*"VCW!)W"</f>
        <v>#VALUE!</v>
      </c>
      <c r="CA3" t="e">
        <f ca="1">Time!BS:BS*"VCW!)X"</f>
        <v>#VALUE!</v>
      </c>
      <c r="CB3" t="e">
        <f ca="1">Time!BT:BT*"VCW!)Y"</f>
        <v>#VALUE!</v>
      </c>
      <c r="CC3" t="e">
        <f ca="1">Time!BU:BU*"VCW!)Z"</f>
        <v>#VALUE!</v>
      </c>
      <c r="CD3" t="e">
        <f ca="1">Time!BV:BV*"VCW!)["</f>
        <v>#VALUE!</v>
      </c>
      <c r="CE3" t="e">
        <f ca="1">Time!BW:BW*"VCW!)\"</f>
        <v>#VALUE!</v>
      </c>
      <c r="CF3" t="e">
        <f ca="1">Time!BX:BX*"VCW!)]"</f>
        <v>#VALUE!</v>
      </c>
      <c r="CG3" t="e">
        <f ca="1">Time!BY:BY*"VCW!)^"</f>
        <v>#VALUE!</v>
      </c>
      <c r="CH3" t="e">
        <f ca="1">Time!BZ:BZ*"VCW!)_"</f>
        <v>#VALUE!</v>
      </c>
      <c r="CI3" t="e">
        <f ca="1">Time!CA:CA*"VCW!)`"</f>
        <v>#VALUE!</v>
      </c>
      <c r="CJ3" t="e">
        <f ca="1">Time!CB:CB*"VCW!)a"</f>
        <v>#VALUE!</v>
      </c>
      <c r="CK3" t="e">
        <f ca="1">Time!CC:CC*"VCW!)b"</f>
        <v>#VALUE!</v>
      </c>
      <c r="CL3" t="e">
        <f ca="1">Time!CD:CD*"VCW!)c"</f>
        <v>#VALUE!</v>
      </c>
      <c r="CM3" t="e">
        <f ca="1">Time!CE:CE*"VCW!)d"</f>
        <v>#VALUE!</v>
      </c>
      <c r="CN3" t="e">
        <f ca="1">Time!CF:CF*"VCW!)e"</f>
        <v>#VALUE!</v>
      </c>
      <c r="CO3" t="e">
        <f ca="1">Time!CG:CG*"VCW!)f"</f>
        <v>#VALUE!</v>
      </c>
      <c r="CP3" t="e">
        <f ca="1">Time!CH:CH*"VCW!)g"</f>
        <v>#VALUE!</v>
      </c>
      <c r="CQ3" t="e">
        <f ca="1">Time!CI:CI*"VCW!)h"</f>
        <v>#VALUE!</v>
      </c>
      <c r="CR3" t="e">
        <f ca="1">Time!CJ:CJ*"VCW!)i"</f>
        <v>#VALUE!</v>
      </c>
      <c r="CS3" t="e">
        <f ca="1">Time!CK:CK*"VCW!)j"</f>
        <v>#VALUE!</v>
      </c>
      <c r="CT3" t="e">
        <f ca="1">Time!CL:CL*"VCW!)k"</f>
        <v>#VALUE!</v>
      </c>
      <c r="CU3" t="e">
        <f ca="1">Time!CM:CM*"VCW!)l"</f>
        <v>#VALUE!</v>
      </c>
      <c r="CV3" t="e">
        <f ca="1">Time!CN:CN*"VCW!)m"</f>
        <v>#VALUE!</v>
      </c>
      <c r="CW3" t="e">
        <f ca="1">Time!CO:CO*"VCW!)n"</f>
        <v>#VALUE!</v>
      </c>
      <c r="CX3" t="e">
        <f ca="1">Time!CP:CP*"VCW!)o"</f>
        <v>#VALUE!</v>
      </c>
      <c r="CY3" t="e">
        <f ca="1">Time!CQ:CQ*"VCW!)p"</f>
        <v>#VALUE!</v>
      </c>
      <c r="CZ3" t="e">
        <f ca="1">Time!CR:CR*"VCW!)q"</f>
        <v>#VALUE!</v>
      </c>
      <c r="DA3" t="e">
        <f ca="1">Time!CS:CS*"VCW!)r"</f>
        <v>#VALUE!</v>
      </c>
      <c r="DB3" t="e">
        <f ca="1">Time!CT:CT*"VCW!)s"</f>
        <v>#VALUE!</v>
      </c>
      <c r="DC3" t="e">
        <f ca="1">Time!CU:CU*"VCW!)t"</f>
        <v>#VALUE!</v>
      </c>
      <c r="DD3" t="e">
        <f ca="1">Time!CV:CV*"VCW!)u"</f>
        <v>#VALUE!</v>
      </c>
      <c r="DE3" t="e">
        <f ca="1">Time!CW:CW*"VCW!)v"</f>
        <v>#VALUE!</v>
      </c>
      <c r="DF3" t="e">
        <f ca="1">Time!CX:CX*"VCW!)w"</f>
        <v>#VALUE!</v>
      </c>
      <c r="DG3" t="e">
        <f ca="1">Time!CY:CY*"VCW!)x"</f>
        <v>#VALUE!</v>
      </c>
      <c r="DH3" t="e">
        <f ca="1">Time!CZ:CZ*"VCW!)y"</f>
        <v>#VALUE!</v>
      </c>
      <c r="DI3" t="e">
        <f ca="1">Time!DA:DA*"VCW!)z"</f>
        <v>#VALUE!</v>
      </c>
      <c r="DJ3" t="e">
        <f ca="1">Time!DB:DB*"VCW!){"</f>
        <v>#VALUE!</v>
      </c>
      <c r="DK3" t="e">
        <f ca="1">Time!DC:DC*"VCW!)|"</f>
        <v>#VALUE!</v>
      </c>
      <c r="DL3" t="e">
        <f ca="1">Time!DD:DD*"VCW!)}"</f>
        <v>#VALUE!</v>
      </c>
      <c r="DM3" t="e">
        <f ca="1">Time!DE:DE*"VCW!)~"</f>
        <v>#VALUE!</v>
      </c>
      <c r="DN3" t="e">
        <f ca="1">Time!DF:DF*"VCW!.#"</f>
        <v>#VALUE!</v>
      </c>
      <c r="DO3" t="e">
        <f ca="1">Time!DG:DG*"VCW!.$"</f>
        <v>#VALUE!</v>
      </c>
      <c r="DP3" t="e">
        <f ca="1">Time!DH:DH*"VCW!.%"</f>
        <v>#VALUE!</v>
      </c>
      <c r="DQ3" t="e">
        <f ca="1">Time!DI:DI*"VCW!.&amp;"</f>
        <v>#VALUE!</v>
      </c>
      <c r="DR3" t="e">
        <f ca="1">Time!DJ:DJ*"VCW!.'"</f>
        <v>#VALUE!</v>
      </c>
      <c r="DS3" t="e">
        <f ca="1">Time!DK:DK*"VCW!.("</f>
        <v>#VALUE!</v>
      </c>
      <c r="DT3" t="e">
        <f ca="1">Time!DL:DL*"VCW!.)"</f>
        <v>#VALUE!</v>
      </c>
      <c r="DU3" t="e">
        <f ca="1">Time!DM:DM*"VCW!.."</f>
        <v>#VALUE!</v>
      </c>
      <c r="DV3" t="e">
        <f ca="1">Time!DN:DN*"VCW!./"</f>
        <v>#VALUE!</v>
      </c>
      <c r="DW3" t="e">
        <f ca="1">Time!DO:DO*"VCW!.0"</f>
        <v>#VALUE!</v>
      </c>
      <c r="DX3" t="e">
        <f ca="1">Time!DP:DP*"VCW!.1"</f>
        <v>#VALUE!</v>
      </c>
      <c r="DY3" t="e">
        <f ca="1">Time!DQ:DQ*"VCW!.2"</f>
        <v>#VALUE!</v>
      </c>
      <c r="DZ3" t="e">
        <f ca="1">Time!DR:DR*"VCW!.3"</f>
        <v>#VALUE!</v>
      </c>
      <c r="EA3" t="e">
        <f ca="1">Time!DS:DS*"VCW!.4"</f>
        <v>#VALUE!</v>
      </c>
      <c r="EB3" t="e">
        <f ca="1">Time!DT:DT*"VCW!.5"</f>
        <v>#VALUE!</v>
      </c>
      <c r="EC3" t="e">
        <f ca="1">Time!DU:DU*"VCW!.6"</f>
        <v>#VALUE!</v>
      </c>
      <c r="ED3" t="e">
        <f ca="1">Time!DV:DV*"VCW!.7"</f>
        <v>#VALUE!</v>
      </c>
      <c r="EE3" t="e">
        <f ca="1">Time!DW:DW*"VCW!.8"</f>
        <v>#VALUE!</v>
      </c>
      <c r="EF3" t="e">
        <f ca="1">Time!1:1-"VCW!.9"</f>
        <v>#VALUE!</v>
      </c>
      <c r="EG3" t="e">
        <f ca="1">Time!2:2-"VCW!.:"</f>
        <v>#VALUE!</v>
      </c>
      <c r="EH3" t="e">
        <f ca="1">Time!3:3-"VCW!.;"</f>
        <v>#VALUE!</v>
      </c>
      <c r="EI3" t="e">
        <f ca="1">Time!4:4-"VCW!.&lt;"</f>
        <v>#VALUE!</v>
      </c>
      <c r="EJ3" t="e">
        <f ca="1">Time!5:5-"VCW!.="</f>
        <v>#VALUE!</v>
      </c>
      <c r="EK3" t="e">
        <f ca="1">Time!6:6-"VCW!.&gt;"</f>
        <v>#VALUE!</v>
      </c>
      <c r="EL3" t="e">
        <f ca="1">Time!7:7-"VCW!.?"</f>
        <v>#VALUE!</v>
      </c>
      <c r="EM3" t="e">
        <f ca="1">Time!8:8-"VCW!.@"</f>
        <v>#VALUE!</v>
      </c>
      <c r="EN3" t="e">
        <f ca="1">Time!9:9-"VCW!.A"</f>
        <v>#VALUE!</v>
      </c>
      <c r="EO3" t="e">
        <f ca="1">Time!10:10-"VCW!.B"</f>
        <v>#VALUE!</v>
      </c>
      <c r="EP3" t="e">
        <f ca="1">Time!11:11-"VCW!.C"</f>
        <v>#VALUE!</v>
      </c>
      <c r="EQ3" t="e">
        <f ca="1">Time!12:12-"VCW!.D"</f>
        <v>#VALUE!</v>
      </c>
      <c r="ER3" t="e">
        <f ca="1">Time!13:13-"VCW!.E"</f>
        <v>#VALUE!</v>
      </c>
      <c r="ES3" t="e">
        <f ca="1">Time!14:14-"VCW!.F"</f>
        <v>#VALUE!</v>
      </c>
      <c r="ET3" t="e">
        <f ca="1">Time!15:15-"VCW!.G"</f>
        <v>#VALUE!</v>
      </c>
      <c r="EU3" t="e">
        <f ca="1">Time!16:16-"VCW!.H"</f>
        <v>#VALUE!</v>
      </c>
      <c r="EV3" t="e">
        <f ca="1">Time!17:17-"VCW!.I"</f>
        <v>#VALUE!</v>
      </c>
      <c r="EW3" t="e">
        <f ca="1">Time!18:18-"VCW!.J"</f>
        <v>#VALUE!</v>
      </c>
      <c r="EX3" t="e">
        <f ca="1">Time!19:19-"VCW!.K"</f>
        <v>#VALUE!</v>
      </c>
      <c r="EY3" t="e">
        <f ca="1">Time!20:20-"VCW!.L"</f>
        <v>#VALUE!</v>
      </c>
      <c r="EZ3" t="e">
        <f ca="1">Time!21:21-"VCW!.M"</f>
        <v>#VALUE!</v>
      </c>
      <c r="FA3" t="e">
        <f ca="1">Time!22:22-"VCW!.N"</f>
        <v>#VALUE!</v>
      </c>
      <c r="FB3" t="e">
        <f ca="1">Time!23:23-"VCW!.O"</f>
        <v>#VALUE!</v>
      </c>
      <c r="FC3" t="e">
        <f ca="1">Time!24:24-"VCW!.P"</f>
        <v>#VALUE!</v>
      </c>
      <c r="FD3" t="e">
        <f ca="1">Time!25:25-"VCW!.Q"</f>
        <v>#VALUE!</v>
      </c>
      <c r="FE3" t="e">
        <f ca="1">Time!26:26-"VCW!.R"</f>
        <v>#VALUE!</v>
      </c>
      <c r="FF3" t="e">
        <f ca="1">Time!27:27-"VCW!.S"</f>
        <v>#VALUE!</v>
      </c>
      <c r="FG3" t="e">
        <f ca="1">Time!28:28-"VCW!.T"</f>
        <v>#VALUE!</v>
      </c>
      <c r="FH3" t="e">
        <f ca="1">Time!29:29-"VCW!.U"</f>
        <v>#VALUE!</v>
      </c>
      <c r="FI3" t="e">
        <f ca="1">Time!30:30-"VCW!.V"</f>
        <v>#VALUE!</v>
      </c>
      <c r="FJ3" t="e">
        <f ca="1">Time!31:31-"VCW!.W"</f>
        <v>#VALUE!</v>
      </c>
      <c r="FK3" t="e">
        <f ca="1">Time!32:32-"VCW!.X"</f>
        <v>#VALUE!</v>
      </c>
      <c r="FL3" t="e">
        <f ca="1">Time!33:33-"VCW!.Y"</f>
        <v>#VALUE!</v>
      </c>
      <c r="FM3" t="e">
        <f ca="1">Time!34:34-"VCW!.Z"</f>
        <v>#VALUE!</v>
      </c>
      <c r="FN3" t="e">
        <f ca="1">Time!35:35-"VCW!.["</f>
        <v>#VALUE!</v>
      </c>
      <c r="FO3" t="e">
        <f ca="1">Time!36:36-"VCW!.\"</f>
        <v>#VALUE!</v>
      </c>
      <c r="FP3" t="e">
        <f ca="1">Time!37:37-"VCW!.]"</f>
        <v>#VALUE!</v>
      </c>
      <c r="FQ3" t="e">
        <f ca="1">Time!38:38-"VCW!.^"</f>
        <v>#VALUE!</v>
      </c>
      <c r="FR3" t="e">
        <f ca="1">Time!39:39-"VCW!._"</f>
        <v>#VALUE!</v>
      </c>
      <c r="FS3" t="e">
        <f ca="1">Time!40:40-"VCW!.`"</f>
        <v>#VALUE!</v>
      </c>
      <c r="FT3" t="e">
        <f ca="1">Time!41:41-"VCW!.a"</f>
        <v>#VALUE!</v>
      </c>
      <c r="FU3" t="e">
        <f ca="1">Time!42:42-"VCW!.b"</f>
        <v>#VALUE!</v>
      </c>
      <c r="FV3" t="e">
        <f ca="1">Time!43:43-"VCW!.c"</f>
        <v>#VALUE!</v>
      </c>
      <c r="FW3" t="e">
        <f ca="1">Time!44:44-"VCW!.d"</f>
        <v>#VALUE!</v>
      </c>
      <c r="FX3" t="e">
        <f ca="1">Time!45:45-"VCW!.e"</f>
        <v>#VALUE!</v>
      </c>
      <c r="FY3" t="e">
        <f ca="1">Time!46:46-"VCW!.f"</f>
        <v>#VALUE!</v>
      </c>
      <c r="FZ3" t="e">
        <f ca="1">Time!47:47-"VCW!.g"</f>
        <v>#VALUE!</v>
      </c>
      <c r="GA3" t="e">
        <f ca="1">Time!48:48-"VCW!.h"</f>
        <v>#VALUE!</v>
      </c>
      <c r="GB3" t="e">
        <f ca="1">Time!49:49-"VCW!.i"</f>
        <v>#VALUE!</v>
      </c>
      <c r="GC3" t="e">
        <f ca="1">Time!50:50-"VCW!.j"</f>
        <v>#VALUE!</v>
      </c>
      <c r="GD3" t="e">
        <f ca="1">Time!51:51-"VCW!.k"</f>
        <v>#VALUE!</v>
      </c>
      <c r="GE3" t="e">
        <f ca="1">Time!52:52-"VCW!.l"</f>
        <v>#VALUE!</v>
      </c>
      <c r="GF3" t="e">
        <f ca="1">Time!53:53-"VCW!.m"</f>
        <v>#VALUE!</v>
      </c>
      <c r="GG3" t="e">
        <f ca="1">Time!54:54-"VCW!.n"</f>
        <v>#VALUE!</v>
      </c>
      <c r="GH3" t="e">
        <f ca="1">Time!55:55-"VCW!.o"</f>
        <v>#VALUE!</v>
      </c>
      <c r="GI3" t="e">
        <f ca="1">Time!56:56-"VCW!.p"</f>
        <v>#VALUE!</v>
      </c>
      <c r="GJ3" t="e">
        <f ca="1">Time!57:57-"VCW!.q"</f>
        <v>#VALUE!</v>
      </c>
      <c r="GK3" t="e">
        <f ca="1">Time!58:58-"VCW!.r"</f>
        <v>#VALUE!</v>
      </c>
      <c r="GL3" t="e">
        <f ca="1">Time!59:59-"VCW!.s"</f>
        <v>#VALUE!</v>
      </c>
      <c r="GM3" t="e">
        <f ca="1">Time!60:60-"VCW!.t"</f>
        <v>#VALUE!</v>
      </c>
      <c r="GN3" t="e">
        <f ca="1">Time!61:61-"VCW!.u"</f>
        <v>#VALUE!</v>
      </c>
      <c r="GO3" t="e">
        <f ca="1">Time!62:62-"VCW!.v"</f>
        <v>#VALUE!</v>
      </c>
      <c r="GP3" t="e">
        <f ca="1">Time!63:63-"VCW!.w"</f>
        <v>#VALUE!</v>
      </c>
      <c r="GQ3" t="e">
        <f ca="1">Time!64:64-"VCW!.x"</f>
        <v>#VALUE!</v>
      </c>
      <c r="GR3" t="e">
        <f ca="1">Time!65:65-"VCW!.y"</f>
        <v>#VALUE!</v>
      </c>
      <c r="GS3" t="e">
        <f ca="1">Time!66:66-"VCW!.z"</f>
        <v>#VALUE!</v>
      </c>
      <c r="GT3" t="e">
        <f ca="1">Time!67:67-"VCW!.{"</f>
        <v>#VALUE!</v>
      </c>
      <c r="GU3" t="e">
        <f ca="1">Time!68:68-"VCW!.|"</f>
        <v>#VALUE!</v>
      </c>
      <c r="GV3" t="e">
        <f ca="1">Time!69:69-"VCW!.}"</f>
        <v>#VALUE!</v>
      </c>
      <c r="GW3" t="e">
        <f ca="1">Time!70:70-"VCW!.~"</f>
        <v>#VALUE!</v>
      </c>
      <c r="GX3" t="e">
        <f ca="1">Time!71:71-"VCW!/#"</f>
        <v>#VALUE!</v>
      </c>
      <c r="GY3" t="e">
        <f ca="1">Time!72:72-"VCW!/$"</f>
        <v>#VALUE!</v>
      </c>
      <c r="GZ3" t="e">
        <f ca="1">Time!73:73-"VCW!/%"</f>
        <v>#VALUE!</v>
      </c>
      <c r="HA3" t="e">
        <f ca="1">Time!74:74-"VCW!/&amp;"</f>
        <v>#VALUE!</v>
      </c>
      <c r="HB3" t="e">
        <f ca="1">Time!75:75-"VCW!/'"</f>
        <v>#VALUE!</v>
      </c>
      <c r="HC3" t="e">
        <f ca="1">Time!76:76-"VCW!/("</f>
        <v>#VALUE!</v>
      </c>
      <c r="HD3" t="e">
        <f ca="1">Time!77:77-"VCW!/)"</f>
        <v>#VALUE!</v>
      </c>
      <c r="HE3" t="e">
        <f ca="1">Time!78:78-"VCW!/."</f>
        <v>#VALUE!</v>
      </c>
      <c r="HF3" t="e">
        <f ca="1">Time!79:79-"VCW!//"</f>
        <v>#VALUE!</v>
      </c>
      <c r="HG3" t="e">
        <f ca="1">Time!80:80-"VCW!/0"</f>
        <v>#VALUE!</v>
      </c>
      <c r="HH3" t="e">
        <f ca="1">Time!81:81-"VCW!/1"</f>
        <v>#VALUE!</v>
      </c>
      <c r="HI3" t="e">
        <f ca="1">Time!82:82-"VCW!/2"</f>
        <v>#VALUE!</v>
      </c>
      <c r="HJ3" t="e">
        <f ca="1">Time!83:83-"VCW!/3"</f>
        <v>#VALUE!</v>
      </c>
      <c r="HK3" t="e">
        <f ca="1">Time!84:84-"VCW!/4"</f>
        <v>#VALUE!</v>
      </c>
      <c r="HL3" t="e">
        <f ca="1">Time!85:85-"VCW!/5"</f>
        <v>#VALUE!</v>
      </c>
      <c r="HM3" t="e">
        <f ca="1">Time!86:86-"VCW!/6"</f>
        <v>#VALUE!</v>
      </c>
      <c r="HN3" t="e">
        <f ca="1">Time!87:87-"VCW!/7"</f>
        <v>#VALUE!</v>
      </c>
      <c r="HO3" t="e">
        <f ca="1">Time!88:88-"VCW!/8"</f>
        <v>#VALUE!</v>
      </c>
      <c r="HP3" t="e">
        <f ca="1">Time!89:89-"VCW!/9"</f>
        <v>#VALUE!</v>
      </c>
      <c r="HQ3" t="e">
        <f ca="1">Time!90:90-"VCW!/:"</f>
        <v>#VALUE!</v>
      </c>
      <c r="HR3" t="e">
        <f ca="1">Time!91:91-"VCW!/;"</f>
        <v>#VALUE!</v>
      </c>
      <c r="HS3" t="e">
        <f ca="1">Time!92:92-"VCW!/&lt;"</f>
        <v>#VALUE!</v>
      </c>
      <c r="HT3" t="e">
        <f ca="1">Time!93:93-"VCW!/="</f>
        <v>#VALUE!</v>
      </c>
      <c r="HU3" t="e">
        <f ca="1">Time!94:94-"VCW!/&gt;"</f>
        <v>#VALUE!</v>
      </c>
      <c r="HV3" t="e">
        <f ca="1">Time!95:95-"VCW!/?"</f>
        <v>#VALUE!</v>
      </c>
      <c r="HW3" t="e">
        <f ca="1">Time!96:96-"VCW!/@"</f>
        <v>#VALUE!</v>
      </c>
      <c r="HX3" t="e">
        <f ca="1">Time!97:97-"VCW!/A"</f>
        <v>#VALUE!</v>
      </c>
      <c r="HY3" t="e">
        <f ca="1">Time!98:98-"VCW!/B"</f>
        <v>#VALUE!</v>
      </c>
      <c r="HZ3" t="e">
        <f ca="1">Time!99:99-"VCW!/C"</f>
        <v>#VALUE!</v>
      </c>
      <c r="IA3" t="e">
        <f ca="1">Time!100:100-"VCW!/D"</f>
        <v>#VALUE!</v>
      </c>
      <c r="IB3" t="e">
        <f ca="1">Time!101:101-"VCW!/E"</f>
        <v>#VALUE!</v>
      </c>
      <c r="IC3" t="e">
        <f ca="1">Time!102:102-"VCW!/F"</f>
        <v>#VALUE!</v>
      </c>
      <c r="ID3" t="e">
        <f ca="1">Time!103:103-"VCW!/G"</f>
        <v>#VALUE!</v>
      </c>
      <c r="IE3" t="e">
        <f ca="1">Time!104:104-"VCW!/H"</f>
        <v>#VALUE!</v>
      </c>
      <c r="IF3" t="e">
        <f ca="1">Time!105:105-"VCW!/I"</f>
        <v>#VALUE!</v>
      </c>
      <c r="IG3" t="e">
        <f ca="1">Time!106:106-"VCW!/J"</f>
        <v>#VALUE!</v>
      </c>
      <c r="IH3" t="e">
        <f ca="1">Time!107:107-"VCW!/K"</f>
        <v>#VALUE!</v>
      </c>
      <c r="II3" t="e">
        <f ca="1">Time!108:108-"VCW!/L"</f>
        <v>#VALUE!</v>
      </c>
      <c r="IJ3" t="e">
        <f ca="1">Time!109:109-"VCW!/M"</f>
        <v>#VALUE!</v>
      </c>
      <c r="IK3" t="e">
        <f ca="1">Time!110:110-"VCW!/N"</f>
        <v>#VALUE!</v>
      </c>
      <c r="IL3" t="e">
        <f ca="1">Time!111:111-"VCW!/O"</f>
        <v>#VALUE!</v>
      </c>
      <c r="IM3" t="e">
        <f ca="1">Time!112:112-"VCW!/P"</f>
        <v>#VALUE!</v>
      </c>
      <c r="IN3" t="e">
        <f ca="1">Time!113:113-"VCW!/Q"</f>
        <v>#VALUE!</v>
      </c>
      <c r="IO3" t="e">
        <f ca="1">Time!114:114-"VCW!/R"</f>
        <v>#VALUE!</v>
      </c>
      <c r="IP3" t="e">
        <f ca="1">Time!115:115-"VCW!/S"</f>
        <v>#VALUE!</v>
      </c>
      <c r="IQ3" t="e">
        <f ca="1">Time!116:116-"VCW!/T"</f>
        <v>#VALUE!</v>
      </c>
      <c r="IR3" t="e">
        <f ca="1">Time!117:117-"VCW!/U"</f>
        <v>#VALUE!</v>
      </c>
      <c r="IS3" t="e">
        <f ca="1">Time!118:118-"VCW!/V"</f>
        <v>#VALUE!</v>
      </c>
      <c r="IT3" t="e">
        <f ca="1">Time!119:119-"VCW!/W"</f>
        <v>#VALUE!</v>
      </c>
      <c r="IU3" t="e">
        <f ca="1">Time!120:120-"VCW!/X"</f>
        <v>#VALUE!</v>
      </c>
      <c r="IV3" t="e">
        <f ca="1">Time!121:121-"VCW!/Y"</f>
        <v>#VALUE!</v>
      </c>
    </row>
    <row r="4" spans="1:256" x14ac:dyDescent="0.2">
      <c r="F4" t="e">
        <f ca="1">Time!122:122-"VCW!/Z"</f>
        <v>#VALUE!</v>
      </c>
      <c r="G4" t="e">
        <f ca="1">Time!123:123-"VCW!/["</f>
        <v>#VALUE!</v>
      </c>
      <c r="H4" t="e">
        <f ca="1">Time!124:124-"VCW!/\"</f>
        <v>#VALUE!</v>
      </c>
      <c r="I4" t="e">
        <f ca="1">Time!125:125-"VCW!/]"</f>
        <v>#VALUE!</v>
      </c>
      <c r="J4" t="e">
        <f ca="1">Time!126:126-"VCW!/^"</f>
        <v>#VALUE!</v>
      </c>
      <c r="K4" t="e">
        <f ca="1">Time!127:127-"VCW!/_"</f>
        <v>#VALUE!</v>
      </c>
      <c r="L4" t="e">
        <f ca="1">Time!128:128-"VCW!/`"</f>
        <v>#VALUE!</v>
      </c>
      <c r="M4" t="e">
        <f ca="1">Time!129:129-"VCW!/a"</f>
        <v>#VALUE!</v>
      </c>
      <c r="N4" t="e">
        <f ca="1">Time!130:130-"VCW!/b"</f>
        <v>#VALUE!</v>
      </c>
      <c r="O4" t="e">
        <f ca="1">Time!131:131-"VCW!/c"</f>
        <v>#VALUE!</v>
      </c>
      <c r="P4" t="e">
        <f ca="1">Time!132:132-"VCW!/d"</f>
        <v>#VALUE!</v>
      </c>
      <c r="Q4" t="e">
        <f ca="1">Time!133:133-"VCW!/e"</f>
        <v>#VALUE!</v>
      </c>
      <c r="R4" t="e">
        <f ca="1">Time!134:134-"VCW!/f"</f>
        <v>#VALUE!</v>
      </c>
      <c r="S4" t="e">
        <f ca="1">Time!135:135-"VCW!/g"</f>
        <v>#VALUE!</v>
      </c>
      <c r="T4" t="e">
        <f ca="1">Time!136:136-"VCW!/h"</f>
        <v>#VALUE!</v>
      </c>
      <c r="U4" t="e">
        <f ca="1">Time!137:137-"VCW!/i"</f>
        <v>#VALUE!</v>
      </c>
      <c r="V4" t="e">
        <f ca="1">Time!138:138-"VCW!/j"</f>
        <v>#VALUE!</v>
      </c>
      <c r="W4" t="e">
        <f ca="1">Time!139:139-"VCW!/k"</f>
        <v>#VALUE!</v>
      </c>
      <c r="X4" t="e">
        <f ca="1">Time!140:140-"VCW!/l"</f>
        <v>#VALUE!</v>
      </c>
      <c r="Y4" t="e">
        <f ca="1">Time!141:141-"VCW!/m"</f>
        <v>#VALUE!</v>
      </c>
      <c r="Z4" t="e">
        <f ca="1">Time!142:142-"VCW!/n"</f>
        <v>#VALUE!</v>
      </c>
      <c r="AA4" t="e">
        <f ca="1">Time!143:143-"VCW!/o"</f>
        <v>#VALUE!</v>
      </c>
      <c r="AB4" t="e">
        <f ca="1">Time!144:144-"VCW!/p"</f>
        <v>#VALUE!</v>
      </c>
      <c r="AC4" t="e">
        <f ca="1">Time!145:145-"VCW!/q"</f>
        <v>#VALUE!</v>
      </c>
      <c r="AD4" t="e">
        <f ca="1">Time!146:146-"VCW!/r"</f>
        <v>#VALUE!</v>
      </c>
      <c r="AE4" t="e">
        <f ca="1">Time!147:147-"VCW!/s"</f>
        <v>#VALUE!</v>
      </c>
      <c r="AF4" t="e">
        <f ca="1">Time!148:148-"VCW!/t"</f>
        <v>#VALUE!</v>
      </c>
      <c r="AG4" t="e">
        <f ca="1">Time!149:149-"VCW!/u"</f>
        <v>#VALUE!</v>
      </c>
      <c r="AH4" t="e">
        <f ca="1">Time!150:150-"VCW!/v"</f>
        <v>#VALUE!</v>
      </c>
      <c r="AI4" t="e">
        <f ca="1">Time!151:151-"VCW!/w"</f>
        <v>#VALUE!</v>
      </c>
      <c r="AJ4" t="e">
        <f ca="1">Time!152:152-"VCW!/x"</f>
        <v>#VALUE!</v>
      </c>
      <c r="AK4" t="e">
        <f ca="1">Time!153:153-"VCW!/y"</f>
        <v>#VALUE!</v>
      </c>
      <c r="AL4" t="e">
        <f ca="1">Time!154:154-"VCW!/z"</f>
        <v>#VALUE!</v>
      </c>
      <c r="AM4" t="e">
        <f ca="1">Time!155:155-"VCW!/{"</f>
        <v>#VALUE!</v>
      </c>
      <c r="AN4" t="e">
        <f ca="1">Time!156:156-"VCW!/|"</f>
        <v>#VALUE!</v>
      </c>
      <c r="AO4" t="e">
        <f ca="1">Time!157:157-"VCW!/}"</f>
        <v>#VALUE!</v>
      </c>
      <c r="AP4" t="e">
        <f ca="1">Time!158:158-"VCW!/~"</f>
        <v>#VALUE!</v>
      </c>
      <c r="AQ4" t="e">
        <f ca="1">Time!159:159-"VCW!0#"</f>
        <v>#VALUE!</v>
      </c>
      <c r="AR4" t="e">
        <f ca="1">Time!160:160-"VCW!0$"</f>
        <v>#VALUE!</v>
      </c>
      <c r="AS4" t="e">
        <f ca="1">Time!161:161-"VCW!0%"</f>
        <v>#VALUE!</v>
      </c>
      <c r="AT4" t="e">
        <f ca="1">Time!162:162-"VCW!0&amp;"</f>
        <v>#VALUE!</v>
      </c>
      <c r="AU4" t="e">
        <f ca="1">Time!163:163-"VCW!0'"</f>
        <v>#VALUE!</v>
      </c>
      <c r="AV4" t="e">
        <f ca="1">Time!164:164-"VCW!0("</f>
        <v>#VALUE!</v>
      </c>
      <c r="AW4" t="e">
        <f ca="1">Time!165:165-"VCW!0)"</f>
        <v>#VALUE!</v>
      </c>
      <c r="AX4" t="e">
        <f ca="1">Time!166:166-"VCW!0."</f>
        <v>#VALUE!</v>
      </c>
      <c r="AY4" t="e">
        <f ca="1">Time!167:167-"VCW!0/"</f>
        <v>#VALUE!</v>
      </c>
      <c r="AZ4" t="e">
        <f ca="1">Time!168:168-"VCW!00"</f>
        <v>#VALUE!</v>
      </c>
      <c r="BA4" t="e">
        <f ca="1">Time!169:169-"VCW!01"</f>
        <v>#VALUE!</v>
      </c>
      <c r="BB4" t="e">
        <f ca="1">Time!170:170-"VCW!02"</f>
        <v>#VALUE!</v>
      </c>
      <c r="BC4" t="e">
        <f ca="1">Time!171:171-"VCW!03"</f>
        <v>#VALUE!</v>
      </c>
      <c r="BD4" t="e">
        <f ca="1">Time!172:172-"VCW!04"</f>
        <v>#VALUE!</v>
      </c>
      <c r="BE4" t="e">
        <f ca="1">Time!173:173-"VCW!05"</f>
        <v>#VALUE!</v>
      </c>
      <c r="BF4" t="e">
        <f ca="1">Time!174:174-"VCW!06"</f>
        <v>#VALUE!</v>
      </c>
      <c r="BG4" t="e">
        <f ca="1">Time!175:175-"VCW!07"</f>
        <v>#VALUE!</v>
      </c>
      <c r="BH4" t="e">
        <f ca="1">Time!176:176-"VCW!08"</f>
        <v>#VALUE!</v>
      </c>
      <c r="BI4" t="e">
        <f ca="1">Time!177:177-"VCW!09"</f>
        <v>#VALUE!</v>
      </c>
      <c r="BJ4" t="e">
        <f ca="1">Time!178:178-"VCW!0:"</f>
        <v>#VALUE!</v>
      </c>
      <c r="BK4" t="e">
        <f ca="1">Time!179:179-"VCW!0;"</f>
        <v>#VALUE!</v>
      </c>
      <c r="BL4" t="e">
        <f ca="1">Time!180:180-"VCW!0&lt;"</f>
        <v>#VALUE!</v>
      </c>
      <c r="BM4" t="e">
        <f ca="1">Time!181:181-"VCW!0="</f>
        <v>#VALUE!</v>
      </c>
      <c r="BN4" t="e">
        <f ca="1">Time!182:182-"VCW!0&gt;"</f>
        <v>#VALUE!</v>
      </c>
      <c r="BO4" t="e">
        <f ca="1">Time!183:183-"VCW!0?"</f>
        <v>#VALUE!</v>
      </c>
      <c r="BP4" t="e">
        <f ca="1">Time!184:184-"VCW!0@"</f>
        <v>#VALUE!</v>
      </c>
      <c r="BQ4" t="e">
        <f ca="1">Time!185:185-"VCW!0A"</f>
        <v>#VALUE!</v>
      </c>
      <c r="BR4" t="e">
        <f ca="1">Time!186:186-"VCW!0B"</f>
        <v>#VALUE!</v>
      </c>
      <c r="BS4" t="e">
        <f ca="1">Time!187:187-"VCW!0C"</f>
        <v>#VALUE!</v>
      </c>
      <c r="BT4" t="e">
        <f ca="1">Time!188:188-"VCW!0D"</f>
        <v>#VALUE!</v>
      </c>
      <c r="BU4" t="e">
        <f ca="1">Time!189:189-"VCW!0E"</f>
        <v>#VALUE!</v>
      </c>
      <c r="BV4" t="e">
        <f ca="1">Time!190:190-"VCW!0F"</f>
        <v>#VALUE!</v>
      </c>
      <c r="BW4" t="e">
        <f ca="1">Time!191:191-"VCW!0G"</f>
        <v>#VALUE!</v>
      </c>
      <c r="BX4" t="e">
        <f ca="1">Time!192:192-"VCW!0H"</f>
        <v>#VALUE!</v>
      </c>
      <c r="BY4" t="e">
        <f ca="1">Time!193:193-"VCW!0I"</f>
        <v>#VALUE!</v>
      </c>
      <c r="BZ4" t="e">
        <f ca="1">Time!194:194-"VCW!0J"</f>
        <v>#VALUE!</v>
      </c>
      <c r="CA4" t="e">
        <f ca="1">Time!195:195-"VCW!0K"</f>
        <v>#VALUE!</v>
      </c>
      <c r="CB4" t="e">
        <f ca="1">Time!196:196-"VCW!0L"</f>
        <v>#VALUE!</v>
      </c>
      <c r="CC4" t="e">
        <f ca="1">Time!197:197-"VCW!0M"</f>
        <v>#VALUE!</v>
      </c>
      <c r="CD4" t="e">
        <f ca="1">Time!198:198-"VCW!0N"</f>
        <v>#VALUE!</v>
      </c>
      <c r="CE4" t="e">
        <f ca="1">Time!199:199-"VCW!0O"</f>
        <v>#VALUE!</v>
      </c>
      <c r="CF4" t="e">
        <f ca="1">Time!200:200-"VCW!0P"</f>
        <v>#VALUE!</v>
      </c>
      <c r="CG4" t="e">
        <f ca="1">Time!201:201-"VCW!0Q"</f>
        <v>#VALUE!</v>
      </c>
      <c r="CH4" t="e">
        <f ca="1">Time!202:202-"VCW!0R"</f>
        <v>#VALUE!</v>
      </c>
      <c r="CI4" t="e">
        <f ca="1">Time!203:203-"VCW!0S"</f>
        <v>#VALUE!</v>
      </c>
      <c r="CJ4" t="e">
        <f ca="1">Time!204:204-"VCW!0T"</f>
        <v>#VALUE!</v>
      </c>
      <c r="CK4" t="e">
        <f ca="1">Time!205:205-"VCW!0U"</f>
        <v>#VALUE!</v>
      </c>
      <c r="CL4" t="e">
        <f ca="1">Time!206:206-"VCW!0V"</f>
        <v>#VALUE!</v>
      </c>
      <c r="CM4" t="e">
        <f ca="1">Time!207:207-"VCW!0W"</f>
        <v>#VALUE!</v>
      </c>
      <c r="CN4" t="e">
        <f ca="1">Time!208:208-"VCW!0X"</f>
        <v>#VALUE!</v>
      </c>
      <c r="CO4" t="e">
        <f ca="1">Time!209:209-"VCW!0Y"</f>
        <v>#VALUE!</v>
      </c>
      <c r="CP4" t="e">
        <f ca="1">Time!210:210-"VCW!0Z"</f>
        <v>#VALUE!</v>
      </c>
      <c r="CQ4" t="e">
        <f ca="1">Time!211:211-"VCW!0["</f>
        <v>#VALUE!</v>
      </c>
      <c r="CR4" t="e">
        <f ca="1">Time!212:212-"VCW!0\"</f>
        <v>#VALUE!</v>
      </c>
      <c r="CS4" t="e">
        <f ca="1">Time!213:213-"VCW!0]"</f>
        <v>#VALUE!</v>
      </c>
      <c r="CT4" t="e">
        <f ca="1">Time!214:214-"VCW!0^"</f>
        <v>#VALUE!</v>
      </c>
      <c r="CU4" t="e">
        <f ca="1">Time!215:215-"VCW!0_"</f>
        <v>#VALUE!</v>
      </c>
      <c r="CV4" t="e">
        <f ca="1">Time!216:216-"VCW!0`"</f>
        <v>#VALUE!</v>
      </c>
      <c r="CW4" t="e">
        <f ca="1">Time!217:217-"VCW!0a"</f>
        <v>#VALUE!</v>
      </c>
      <c r="CX4" t="e">
        <f ca="1">Time!218:218-"VCW!0b"</f>
        <v>#VALUE!</v>
      </c>
      <c r="CY4" t="e">
        <f ca="1">Time!219:219-"VCW!0c"</f>
        <v>#VALUE!</v>
      </c>
      <c r="CZ4" t="e">
        <f ca="1">Time!220:220-"VCW!0d"</f>
        <v>#VALUE!</v>
      </c>
      <c r="DA4" t="e">
        <f ca="1">Time!221:221-"VCW!0e"</f>
        <v>#VALUE!</v>
      </c>
      <c r="DB4" t="e">
        <f ca="1">Time!222:222-"VCW!0f"</f>
        <v>#VALUE!</v>
      </c>
      <c r="DC4" t="e">
        <f ca="1">Time!223:223-"VCW!0g"</f>
        <v>#VALUE!</v>
      </c>
      <c r="DD4" t="e">
        <f ca="1">Time!224:224-"VCW!0h"</f>
        <v>#VALUE!</v>
      </c>
      <c r="DE4" t="e">
        <f ca="1">Time!225:225-"VCW!0i"</f>
        <v>#VALUE!</v>
      </c>
      <c r="DF4" t="e">
        <f ca="1">Time!226:226-"VCW!0j"</f>
        <v>#VALUE!</v>
      </c>
      <c r="DG4" t="e">
        <f ca="1">Time!227:227-"VCW!0k"</f>
        <v>#VALUE!</v>
      </c>
      <c r="DH4" t="e">
        <f ca="1">Time!228:228-"VCW!0l"</f>
        <v>#VALUE!</v>
      </c>
      <c r="DI4" t="e">
        <f ca="1">Time!229:229-"VCW!0m"</f>
        <v>#VALUE!</v>
      </c>
      <c r="DJ4" t="e">
        <f ca="1">Time!230:230-"VCW!0n"</f>
        <v>#VALUE!</v>
      </c>
      <c r="DK4" t="e">
        <f ca="1">Time!231:231-"VCW!0o"</f>
        <v>#VALUE!</v>
      </c>
      <c r="DL4" t="e">
        <f ca="1">Time!232:232-"VCW!0p"</f>
        <v>#VALUE!</v>
      </c>
      <c r="DM4" t="e">
        <f ca="1">Time!233:233-"VCW!0q"</f>
        <v>#VALUE!</v>
      </c>
      <c r="DN4" t="e">
        <f ca="1">Time!234:234-"VCW!0r"</f>
        <v>#VALUE!</v>
      </c>
      <c r="DO4" t="e">
        <f ca="1">Time!235:235-"VCW!0s"</f>
        <v>#VALUE!</v>
      </c>
      <c r="DP4" t="e">
        <f ca="1">Time!236:236-"VCW!0t"</f>
        <v>#VALUE!</v>
      </c>
      <c r="DQ4" t="e">
        <f ca="1">Time!237:237-"VCW!0u"</f>
        <v>#VALUE!</v>
      </c>
      <c r="DR4" t="e">
        <f ca="1">Time!238:238-"VCW!0v"</f>
        <v>#VALUE!</v>
      </c>
      <c r="DS4" t="e">
        <f ca="1">Time!239:239-"VCW!0w"</f>
        <v>#VALUE!</v>
      </c>
      <c r="DT4" t="e">
        <f ca="1">Time!240:240-"VCW!0x"</f>
        <v>#VALUE!</v>
      </c>
      <c r="DU4" t="e">
        <f ca="1">Time!241:241-"VCW!0y"</f>
        <v>#VALUE!</v>
      </c>
      <c r="DV4" t="e">
        <f ca="1">Time!242:242-"VCW!0z"</f>
        <v>#VALUE!</v>
      </c>
      <c r="DW4" t="e">
        <f ca="1">Time!243:243-"VCW!0{"</f>
        <v>#VALUE!</v>
      </c>
      <c r="DX4" t="e">
        <f ca="1">Time!244:244-"VCW!0|"</f>
        <v>#VALUE!</v>
      </c>
      <c r="DY4" t="e">
        <f ca="1">Time!245:245-"VCW!0}"</f>
        <v>#VALUE!</v>
      </c>
      <c r="DZ4" t="e">
        <f ca="1">Time!246:246-"VCW!0~"</f>
        <v>#VALUE!</v>
      </c>
      <c r="EA4" t="e">
        <f ca="1">Time!247:247-"VCW!1#"</f>
        <v>#VALUE!</v>
      </c>
      <c r="EB4" t="e">
        <f ca="1">Time!248:248-"VCW!1$"</f>
        <v>#VALUE!</v>
      </c>
      <c r="EC4" t="e">
        <f ca="1">Time!249:249-"VCW!1%"</f>
        <v>#VALUE!</v>
      </c>
      <c r="ED4" t="e">
        <f ca="1">Time!250:250-"VCW!1&amp;"</f>
        <v>#VALUE!</v>
      </c>
      <c r="EE4" t="e">
        <f ca="1">Time!251:251-"VCW!1'"</f>
        <v>#VALUE!</v>
      </c>
      <c r="EF4" t="e">
        <f ca="1">Time!252:252-"VCW!1("</f>
        <v>#VALUE!</v>
      </c>
      <c r="EG4" t="e">
        <f ca="1">Time!253:253-"VCW!1)"</f>
        <v>#VALUE!</v>
      </c>
      <c r="EH4" t="e">
        <f ca="1">Time!254:254-"VCW!1."</f>
        <v>#VALUE!</v>
      </c>
      <c r="EI4" t="e">
        <f ca="1">Time!255:255-"VCW!1/"</f>
        <v>#VALUE!</v>
      </c>
      <c r="EJ4" t="e">
        <f ca="1">Time!A1+"VCW!10"</f>
        <v>#VALUE!</v>
      </c>
      <c r="EK4" t="e">
        <f ca="1">Time!B1+"VCW!11"</f>
        <v>#VALUE!</v>
      </c>
      <c r="EL4" t="e">
        <f ca="1">Time!C1+"VCW!12"</f>
        <v>#VALUE!</v>
      </c>
      <c r="EM4" t="e">
        <f ca="1">Time!D1+"VCW!13"</f>
        <v>#VALUE!</v>
      </c>
      <c r="EN4" t="e">
        <f ca="1">Time!E1+"VCW!14"</f>
        <v>#VALUE!</v>
      </c>
      <c r="EO4" t="e">
        <f ca="1">Time!F1+"VCW!15"</f>
        <v>#VALUE!</v>
      </c>
      <c r="EP4" t="e">
        <f ca="1">Time!G1+"VCW!16"</f>
        <v>#VALUE!</v>
      </c>
      <c r="EQ4" t="e">
        <f ca="1">Time!H1+"VCW!17"</f>
        <v>#VALUE!</v>
      </c>
      <c r="ER4" t="e">
        <f ca="1">Time!I1+"VCW!18"</f>
        <v>#VALUE!</v>
      </c>
      <c r="ES4" t="e">
        <f ca="1">Time!J1+"VCW!19"</f>
        <v>#VALUE!</v>
      </c>
      <c r="ET4" t="e">
        <f ca="1">Time!K1+"VCW!1:"</f>
        <v>#VALUE!</v>
      </c>
      <c r="EU4" t="e">
        <f ca="1">Time!L1+"VCW!1;"</f>
        <v>#VALUE!</v>
      </c>
      <c r="EV4" t="e">
        <f ca="1">Time!M1+"VCW!1&lt;"</f>
        <v>#VALUE!</v>
      </c>
      <c r="EW4" t="e">
        <f ca="1">Time!N1+"VCW!1="</f>
        <v>#VALUE!</v>
      </c>
      <c r="EX4" t="e">
        <f ca="1">Time!O1+"VCW!1&gt;"</f>
        <v>#VALUE!</v>
      </c>
      <c r="EY4" t="e">
        <f ca="1">Time!P1+"VCW!1?"</f>
        <v>#VALUE!</v>
      </c>
      <c r="EZ4" t="e">
        <f ca="1">Time!Q1+"VCW!1@"</f>
        <v>#VALUE!</v>
      </c>
      <c r="FA4" t="e">
        <f ca="1">Time!R1+"VCW!1A"</f>
        <v>#VALUE!</v>
      </c>
      <c r="FB4" t="e">
        <f ca="1">Time!S1+"VCW!1B"</f>
        <v>#VALUE!</v>
      </c>
      <c r="FC4" t="e">
        <f ca="1">Time!T1+"VCW!1C"</f>
        <v>#VALUE!</v>
      </c>
      <c r="FD4" t="e">
        <f ca="1">Time!U1+"VCW!1D"</f>
        <v>#VALUE!</v>
      </c>
      <c r="FE4" t="e">
        <f ca="1">Time!V1+"VCW!1E"</f>
        <v>#VALUE!</v>
      </c>
      <c r="FF4" t="e">
        <f ca="1">Time!W1+"VCW!1F"</f>
        <v>#VALUE!</v>
      </c>
      <c r="FG4" t="e">
        <f ca="1">Time!X1+"VCW!1G"</f>
        <v>#VALUE!</v>
      </c>
      <c r="FH4" t="e">
        <f ca="1">Time!Y1+"VCW!1H"</f>
        <v>#VALUE!</v>
      </c>
      <c r="FI4" t="e">
        <f ca="1">Time!Z1+"VCW!1I"</f>
        <v>#VALUE!</v>
      </c>
      <c r="FJ4" t="e">
        <f ca="1">Time!AA1+"VCW!1J"</f>
        <v>#VALUE!</v>
      </c>
      <c r="FK4" t="e">
        <f ca="1">Time!AB1+"VCW!1K"</f>
        <v>#VALUE!</v>
      </c>
      <c r="FL4" t="e">
        <f ca="1">Time!AC1+"VCW!1L"</f>
        <v>#VALUE!</v>
      </c>
      <c r="FM4" t="e">
        <f ca="1">Time!AD1+"VCW!1M"</f>
        <v>#VALUE!</v>
      </c>
      <c r="FN4" t="e">
        <f ca="1">Time!AE1+"VCW!1N"</f>
        <v>#VALUE!</v>
      </c>
      <c r="FO4" t="e">
        <f ca="1">Time!AF1+"VCW!1O"</f>
        <v>#VALUE!</v>
      </c>
      <c r="FP4" t="e">
        <f ca="1">Time!AG1+"VCW!1P"</f>
        <v>#VALUE!</v>
      </c>
      <c r="FQ4" t="e">
        <f ca="1">Time!AH1+"VCW!1Q"</f>
        <v>#VALUE!</v>
      </c>
      <c r="FR4" t="e">
        <f ca="1">Time!AI1+"VCW!1R"</f>
        <v>#VALUE!</v>
      </c>
      <c r="FS4" t="e">
        <f ca="1">Time!AJ1+"VCW!1S"</f>
        <v>#VALUE!</v>
      </c>
      <c r="FT4" t="e">
        <f ca="1">Time!AK1+"VCW!1T"</f>
        <v>#VALUE!</v>
      </c>
      <c r="FU4" t="e">
        <f ca="1">Time!AL1+"VCW!1U"</f>
        <v>#VALUE!</v>
      </c>
      <c r="FV4" t="e">
        <f ca="1">Time!AM1+"VCW!1V"</f>
        <v>#VALUE!</v>
      </c>
      <c r="FW4" t="e">
        <f ca="1">Time!AN1+"VCW!1W"</f>
        <v>#VALUE!</v>
      </c>
      <c r="FX4" t="e">
        <f ca="1">Time!AO1+"VCW!1X"</f>
        <v>#VALUE!</v>
      </c>
      <c r="FY4" t="e">
        <f ca="1">Time!AP1+"VCW!1Y"</f>
        <v>#VALUE!</v>
      </c>
      <c r="FZ4" t="e">
        <f ca="1">Time!AQ1+"VCW!1Z"</f>
        <v>#VALUE!</v>
      </c>
      <c r="GA4" t="e">
        <f ca="1">Time!AR1+"VCW!1["</f>
        <v>#VALUE!</v>
      </c>
      <c r="GB4" t="e">
        <f ca="1">Time!AS1+"VCW!1\"</f>
        <v>#VALUE!</v>
      </c>
      <c r="GC4" t="e">
        <f ca="1">Time!AT1+"VCW!1]"</f>
        <v>#VALUE!</v>
      </c>
      <c r="GD4" t="e">
        <f ca="1">Time!AU1+"VCW!1^"</f>
        <v>#VALUE!</v>
      </c>
      <c r="GE4" t="e">
        <f ca="1">Time!AV1+"VCW!1_"</f>
        <v>#VALUE!</v>
      </c>
      <c r="GF4" t="e">
        <f ca="1">Time!AW1+"VCW!1`"</f>
        <v>#VALUE!</v>
      </c>
      <c r="GG4" t="e">
        <f ca="1">Time!AX1+"VCW!1a"</f>
        <v>#VALUE!</v>
      </c>
      <c r="GH4" t="e">
        <f ca="1">Time!AY1+"VCW!1b"</f>
        <v>#VALUE!</v>
      </c>
      <c r="GI4" t="e">
        <f ca="1">Time!AZ1+"VCW!1c"</f>
        <v>#VALUE!</v>
      </c>
      <c r="GJ4" t="e">
        <f ca="1">Time!BA1+"VCW!1d"</f>
        <v>#VALUE!</v>
      </c>
      <c r="GK4" t="e">
        <f ca="1">Time!BB1+"VCW!1e"</f>
        <v>#VALUE!</v>
      </c>
      <c r="GL4" t="e">
        <f ca="1">Time!BC1+"VCW!1f"</f>
        <v>#VALUE!</v>
      </c>
      <c r="GM4" t="e">
        <f ca="1">Time!BD1+"VCW!1g"</f>
        <v>#VALUE!</v>
      </c>
      <c r="GN4" t="e">
        <f ca="1">Time!BE1+"VCW!1h"</f>
        <v>#VALUE!</v>
      </c>
      <c r="GO4" t="e">
        <f ca="1">Time!BF1+"VCW!1i"</f>
        <v>#VALUE!</v>
      </c>
      <c r="GP4" t="e">
        <f ca="1">Time!BG1+"VCW!1j"</f>
        <v>#VALUE!</v>
      </c>
      <c r="GQ4" t="e">
        <f ca="1">Time!BH1+"VCW!1k"</f>
        <v>#VALUE!</v>
      </c>
      <c r="GR4" t="e">
        <f ca="1">Time!BI1+"VCW!1l"</f>
        <v>#VALUE!</v>
      </c>
      <c r="GS4" t="e">
        <f ca="1">Time!BJ1+"VCW!1m"</f>
        <v>#VALUE!</v>
      </c>
      <c r="GT4" t="e">
        <f ca="1">Time!BK1+"VCW!1n"</f>
        <v>#VALUE!</v>
      </c>
      <c r="GU4" t="e">
        <f ca="1">Time!BL1+"VCW!1o"</f>
        <v>#VALUE!</v>
      </c>
      <c r="GV4" t="e">
        <f ca="1">Time!BM1+"VCW!1p"</f>
        <v>#VALUE!</v>
      </c>
      <c r="GW4" t="e">
        <f ca="1">Time!BN1+"VCW!1q"</f>
        <v>#VALUE!</v>
      </c>
      <c r="GX4" t="e">
        <f ca="1">Time!BO1+"VCW!1r"</f>
        <v>#VALUE!</v>
      </c>
      <c r="GY4" t="e">
        <f ca="1">Time!BP1+"VCW!1s"</f>
        <v>#VALUE!</v>
      </c>
      <c r="GZ4" t="e">
        <f ca="1">Time!BQ1+"VCW!1t"</f>
        <v>#VALUE!</v>
      </c>
      <c r="HA4" t="e">
        <f ca="1">Time!BR1+"VCW!1u"</f>
        <v>#VALUE!</v>
      </c>
      <c r="HB4" t="e">
        <f ca="1">Time!BS1+"VCW!1v"</f>
        <v>#VALUE!</v>
      </c>
      <c r="HC4" t="e">
        <f ca="1">Time!BT1+"VCW!1w"</f>
        <v>#VALUE!</v>
      </c>
      <c r="HD4" t="e">
        <f ca="1">Time!BU1+"VCW!1x"</f>
        <v>#VALUE!</v>
      </c>
      <c r="HE4" t="e">
        <f ca="1">Time!BV1+"VCW!1y"</f>
        <v>#VALUE!</v>
      </c>
      <c r="HF4" t="e">
        <f ca="1">Time!BW1+"VCW!1z"</f>
        <v>#VALUE!</v>
      </c>
      <c r="HG4" t="e">
        <f ca="1">Time!BX1+"VCW!1{"</f>
        <v>#VALUE!</v>
      </c>
      <c r="HH4" t="e">
        <f ca="1">Time!BY1+"VCW!1|"</f>
        <v>#VALUE!</v>
      </c>
      <c r="HI4" t="e">
        <f ca="1">Time!C2+"VCW!1}"</f>
        <v>#VALUE!</v>
      </c>
      <c r="HJ4" t="e">
        <f ca="1">Time!D2+"VCW!1~"</f>
        <v>#VALUE!</v>
      </c>
      <c r="HK4" t="e">
        <f ca="1">Time!E2+"VCW!2#"</f>
        <v>#VALUE!</v>
      </c>
      <c r="HL4" t="e">
        <f ca="1">Time!F2+"VCW!2$"</f>
        <v>#VALUE!</v>
      </c>
      <c r="HM4" t="e">
        <f ca="1">Time!G2+"VCW!2%"</f>
        <v>#VALUE!</v>
      </c>
      <c r="HN4" t="e">
        <f ca="1">Time!H2+"VCW!2&amp;"</f>
        <v>#VALUE!</v>
      </c>
      <c r="HO4" t="e">
        <f ca="1">Time!J2+"VCW!2'"</f>
        <v>#VALUE!</v>
      </c>
      <c r="HP4" t="e">
        <f ca="1">Time!K2+"VCW!2("</f>
        <v>#VALUE!</v>
      </c>
      <c r="HQ4" t="e">
        <f ca="1">Time!L2+"VCW!2)"</f>
        <v>#VALUE!</v>
      </c>
      <c r="HR4" t="e">
        <f ca="1">Time!M2+"VCW!2."</f>
        <v>#VALUE!</v>
      </c>
      <c r="HS4" t="e">
        <f ca="1">Time!N2+"VCW!2/"</f>
        <v>#VALUE!</v>
      </c>
      <c r="HT4" t="e">
        <f ca="1">Time!O2+"VCW!20"</f>
        <v>#VALUE!</v>
      </c>
      <c r="HU4" t="e">
        <f ca="1">Time!P2+"VCW!21"</f>
        <v>#VALUE!</v>
      </c>
      <c r="HV4" t="e">
        <f ca="1">Time!Q2+"VCW!22"</f>
        <v>#VALUE!</v>
      </c>
      <c r="HW4" t="e">
        <f ca="1">Time!R2+"VCW!23"</f>
        <v>#VALUE!</v>
      </c>
      <c r="HX4" t="e">
        <f ca="1">Time!S2+"VCW!24"</f>
        <v>#VALUE!</v>
      </c>
      <c r="HY4" t="e">
        <f ca="1">Time!T2+"VCW!25"</f>
        <v>#VALUE!</v>
      </c>
      <c r="HZ4" t="e">
        <f ca="1">Time!U2+"VCW!26"</f>
        <v>#VALUE!</v>
      </c>
      <c r="IA4" t="e">
        <f ca="1">Time!V2+"VCW!27"</f>
        <v>#VALUE!</v>
      </c>
      <c r="IB4" t="e">
        <f ca="1">Time!W2+"VCW!28"</f>
        <v>#VALUE!</v>
      </c>
      <c r="IC4" t="e">
        <f ca="1">Time!X2+"VCW!29"</f>
        <v>#VALUE!</v>
      </c>
      <c r="ID4" t="e">
        <f ca="1">Time!Y2+"VCW!2:"</f>
        <v>#VALUE!</v>
      </c>
      <c r="IE4" t="e">
        <f ca="1">Time!Z2+"VCW!2;"</f>
        <v>#VALUE!</v>
      </c>
      <c r="IF4" t="e">
        <f ca="1">Time!AA2+"VCW!2&lt;"</f>
        <v>#VALUE!</v>
      </c>
      <c r="IG4" t="e">
        <f ca="1">Time!AB2+"VCW!2="</f>
        <v>#VALUE!</v>
      </c>
      <c r="IH4" t="e">
        <f ca="1">Time!AC2+"VCW!2&gt;"</f>
        <v>#VALUE!</v>
      </c>
      <c r="II4" t="e">
        <f ca="1">Time!AD2+"VCW!2?"</f>
        <v>#VALUE!</v>
      </c>
      <c r="IJ4" t="e">
        <f ca="1">Time!AE2+"VCW!2@"</f>
        <v>#VALUE!</v>
      </c>
      <c r="IK4" t="e">
        <f ca="1">Time!AF2+"VCW!2A"</f>
        <v>#VALUE!</v>
      </c>
      <c r="IL4" t="e">
        <f ca="1">Time!AG2+"VCW!2B"</f>
        <v>#VALUE!</v>
      </c>
      <c r="IM4" t="e">
        <f ca="1">Time!AH2+"VCW!2C"</f>
        <v>#VALUE!</v>
      </c>
      <c r="IN4" t="e">
        <f ca="1">Time!AI2+"VCW!2D"</f>
        <v>#VALUE!</v>
      </c>
      <c r="IO4" t="e">
        <f ca="1">Time!AJ2+"VCW!2E"</f>
        <v>#VALUE!</v>
      </c>
      <c r="IP4" t="e">
        <f ca="1">Time!AK2+"VCW!2F"</f>
        <v>#VALUE!</v>
      </c>
      <c r="IQ4" t="e">
        <f ca="1">Time!AL2+"VCW!2G"</f>
        <v>#VALUE!</v>
      </c>
      <c r="IR4" t="e">
        <f ca="1">Time!AM2+"VCW!2H"</f>
        <v>#VALUE!</v>
      </c>
      <c r="IS4" t="e">
        <f ca="1">Time!AN2+"VCW!2I"</f>
        <v>#VALUE!</v>
      </c>
      <c r="IT4" t="e">
        <f ca="1">Time!AO2+"VCW!2J"</f>
        <v>#VALUE!</v>
      </c>
      <c r="IU4" t="e">
        <f ca="1">Time!AP2+"VCW!2K"</f>
        <v>#VALUE!</v>
      </c>
      <c r="IV4" t="e">
        <f ca="1">Time!AQ2+"VCW!2L"</f>
        <v>#VALUE!</v>
      </c>
    </row>
    <row r="5" spans="1:256" x14ac:dyDescent="0.2">
      <c r="F5" t="e">
        <f ca="1">Time!AR2+"VCW!2M"</f>
        <v>#VALUE!</v>
      </c>
      <c r="G5" t="e">
        <f ca="1">Time!AS2+"VCW!2N"</f>
        <v>#VALUE!</v>
      </c>
      <c r="H5" t="e">
        <f ca="1">Time!AT2+"VCW!2O"</f>
        <v>#VALUE!</v>
      </c>
      <c r="I5" t="e">
        <f ca="1">Time!AU2+"VCW!2P"</f>
        <v>#VALUE!</v>
      </c>
      <c r="J5" t="e">
        <f ca="1">Time!AV2+"VCW!2Q"</f>
        <v>#VALUE!</v>
      </c>
      <c r="K5" t="e">
        <f ca="1">Time!AW2+"VCW!2R"</f>
        <v>#VALUE!</v>
      </c>
      <c r="L5" t="e">
        <f ca="1">Time!AX2+"VCW!2S"</f>
        <v>#VALUE!</v>
      </c>
      <c r="M5" t="e">
        <f ca="1">Time!AY2+"VCW!2T"</f>
        <v>#VALUE!</v>
      </c>
      <c r="N5" t="e">
        <f ca="1">Time!AZ2+"VCW!2U"</f>
        <v>#VALUE!</v>
      </c>
      <c r="O5" t="e">
        <f ca="1">Time!BA2+"VCW!2V"</f>
        <v>#VALUE!</v>
      </c>
      <c r="P5" t="e">
        <f ca="1">Time!BB2+"VCW!2W"</f>
        <v>#VALUE!</v>
      </c>
      <c r="Q5" t="e">
        <f ca="1">Time!BC2+"VCW!2X"</f>
        <v>#VALUE!</v>
      </c>
      <c r="R5" t="e">
        <f ca="1">Time!BD2+"VCW!2Y"</f>
        <v>#VALUE!</v>
      </c>
      <c r="S5" t="e">
        <f ca="1">Time!BE2+"VCW!2Z"</f>
        <v>#VALUE!</v>
      </c>
      <c r="T5" t="e">
        <f ca="1">Time!BF2+"VCW!2["</f>
        <v>#VALUE!</v>
      </c>
      <c r="U5" t="e">
        <f ca="1">Time!BG2+"VCW!2\"</f>
        <v>#VALUE!</v>
      </c>
      <c r="V5" t="e">
        <f ca="1">Time!BH2+"VCW!2]"</f>
        <v>#VALUE!</v>
      </c>
      <c r="W5" t="e">
        <f ca="1">Time!BI2+"VCW!2^"</f>
        <v>#VALUE!</v>
      </c>
      <c r="X5" t="e">
        <f ca="1">Time!BJ2+"VCW!2_"</f>
        <v>#VALUE!</v>
      </c>
      <c r="Y5" t="e">
        <f ca="1">Time!BK2+"VCW!2`"</f>
        <v>#VALUE!</v>
      </c>
      <c r="Z5" t="e">
        <f ca="1">Time!BL2+"VCW!2a"</f>
        <v>#VALUE!</v>
      </c>
      <c r="AA5" t="e">
        <f ca="1">Time!BM2+"VCW!2b"</f>
        <v>#VALUE!</v>
      </c>
      <c r="AB5" t="e">
        <f ca="1">Time!BN2+"VCW!2c"</f>
        <v>#VALUE!</v>
      </c>
      <c r="AC5" t="e">
        <f ca="1">Time!BO2+"VCW!2d"</f>
        <v>#VALUE!</v>
      </c>
      <c r="AD5" t="e">
        <f ca="1">Time!BP2+"VCW!2e"</f>
        <v>#VALUE!</v>
      </c>
      <c r="AE5" t="e">
        <f ca="1">Time!BQ2+"VCW!2f"</f>
        <v>#VALUE!</v>
      </c>
      <c r="AF5" t="e">
        <f ca="1">Time!BR2+"VCW!2g"</f>
        <v>#VALUE!</v>
      </c>
      <c r="AG5" t="e">
        <f ca="1">Time!BS2+"VCW!2h"</f>
        <v>#VALUE!</v>
      </c>
      <c r="AH5" t="e">
        <f ca="1">Time!BT2+"VCW!2i"</f>
        <v>#VALUE!</v>
      </c>
      <c r="AI5" t="e">
        <f ca="1">Time!BU2+"VCW!2j"</f>
        <v>#VALUE!</v>
      </c>
      <c r="AJ5" t="e">
        <f ca="1">Time!BV2+"VCW!2k"</f>
        <v>#VALUE!</v>
      </c>
      <c r="AK5" t="e">
        <f ca="1">Time!BW2+"VCW!2l"</f>
        <v>#VALUE!</v>
      </c>
      <c r="AL5" t="e">
        <f ca="1">Time!BX2+"VCW!2m"</f>
        <v>#VALUE!</v>
      </c>
      <c r="AM5" t="e">
        <f ca="1">Time!BY2+"VCW!2n"</f>
        <v>#VALUE!</v>
      </c>
      <c r="AN5" t="e">
        <f ca="1">Time!C3+"VCW!2o"</f>
        <v>#VALUE!</v>
      </c>
      <c r="AO5" t="e">
        <f ca="1">Time!D3+"VCW!2p"</f>
        <v>#VALUE!</v>
      </c>
      <c r="AP5" t="e">
        <f ca="1">Time!E3+"VCW!2q"</f>
        <v>#VALUE!</v>
      </c>
      <c r="AQ5" t="e">
        <f ca="1">Time!F3+"VCW!2r"</f>
        <v>#VALUE!</v>
      </c>
      <c r="AR5" t="e">
        <f ca="1">Time!G3+"VCW!2s"</f>
        <v>#VALUE!</v>
      </c>
      <c r="AS5" t="e">
        <f ca="1">Time!H3+"VCW!2t"</f>
        <v>#VALUE!</v>
      </c>
      <c r="AT5" t="e">
        <f ca="1">Time!J3+"VCW!2u"</f>
        <v>#VALUE!</v>
      </c>
      <c r="AU5" t="e">
        <f ca="1">Time!K3+"VCW!2v"</f>
        <v>#VALUE!</v>
      </c>
      <c r="AV5" t="e">
        <f ca="1">Time!L3+"VCW!2w"</f>
        <v>#VALUE!</v>
      </c>
      <c r="AW5" t="e">
        <f ca="1">Time!M3+"VCW!2x"</f>
        <v>#VALUE!</v>
      </c>
      <c r="AX5" t="e">
        <f ca="1">Time!N3+"VCW!2y"</f>
        <v>#VALUE!</v>
      </c>
      <c r="AY5" t="e">
        <f ca="1">Time!O3+"VCW!2z"</f>
        <v>#VALUE!</v>
      </c>
      <c r="AZ5" t="e">
        <f ca="1">Time!P3+"VCW!2{"</f>
        <v>#VALUE!</v>
      </c>
      <c r="BA5" t="e">
        <f ca="1">Time!Q3+"VCW!2|"</f>
        <v>#VALUE!</v>
      </c>
      <c r="BB5" t="e">
        <f ca="1">Time!R3+"VCW!2}"</f>
        <v>#VALUE!</v>
      </c>
      <c r="BC5" t="e">
        <f ca="1">Time!S3+"VCW!2~"</f>
        <v>#VALUE!</v>
      </c>
      <c r="BD5" t="e">
        <f ca="1">Time!T3+"VCW!3#"</f>
        <v>#VALUE!</v>
      </c>
      <c r="BE5" t="e">
        <f ca="1">Time!U3+"VCW!3$"</f>
        <v>#VALUE!</v>
      </c>
      <c r="BF5" t="e">
        <f ca="1">Time!V3+"VCW!3%"</f>
        <v>#VALUE!</v>
      </c>
      <c r="BG5" t="e">
        <f ca="1">Time!W3+"VCW!3&amp;"</f>
        <v>#VALUE!</v>
      </c>
      <c r="BH5" t="e">
        <f ca="1">Time!X3+"VCW!3'"</f>
        <v>#VALUE!</v>
      </c>
      <c r="BI5" t="e">
        <f ca="1">Time!Y3+"VCW!3("</f>
        <v>#VALUE!</v>
      </c>
      <c r="BJ5" t="e">
        <f ca="1">Time!Z3+"VCW!3)"</f>
        <v>#VALUE!</v>
      </c>
      <c r="BK5" t="e">
        <f ca="1">Time!AA3+"VCW!3."</f>
        <v>#VALUE!</v>
      </c>
      <c r="BL5" t="e">
        <f ca="1">Time!AB3+"VCW!3/"</f>
        <v>#VALUE!</v>
      </c>
      <c r="BM5" t="e">
        <f ca="1">Time!AC3+"VCW!30"</f>
        <v>#VALUE!</v>
      </c>
      <c r="BN5" t="e">
        <f ca="1">Time!AD3+"VCW!31"</f>
        <v>#VALUE!</v>
      </c>
      <c r="BO5" t="e">
        <f ca="1">Time!AE3+"VCW!32"</f>
        <v>#VALUE!</v>
      </c>
      <c r="BP5" t="e">
        <f ca="1">Time!AF3+"VCW!33"</f>
        <v>#VALUE!</v>
      </c>
      <c r="BQ5" t="e">
        <f ca="1">Time!AG3+"VCW!34"</f>
        <v>#VALUE!</v>
      </c>
      <c r="BR5" t="e">
        <f ca="1">Time!AH3+"VCW!35"</f>
        <v>#VALUE!</v>
      </c>
      <c r="BS5" t="e">
        <f ca="1">Time!AI3+"VCW!36"</f>
        <v>#VALUE!</v>
      </c>
      <c r="BT5" t="e">
        <f ca="1">Time!AJ3+"VCW!37"</f>
        <v>#VALUE!</v>
      </c>
      <c r="BU5" t="e">
        <f ca="1">Time!AK3+"VCW!38"</f>
        <v>#VALUE!</v>
      </c>
      <c r="BV5" t="e">
        <f ca="1">Time!AL3+"VCW!39"</f>
        <v>#VALUE!</v>
      </c>
      <c r="BW5" t="e">
        <f ca="1">Time!AM3+"VCW!3:"</f>
        <v>#VALUE!</v>
      </c>
      <c r="BX5" t="e">
        <f ca="1">Time!AN3+"VCW!3;"</f>
        <v>#VALUE!</v>
      </c>
      <c r="BY5" t="e">
        <f ca="1">Time!AO3+"VCW!3&lt;"</f>
        <v>#VALUE!</v>
      </c>
      <c r="BZ5" t="e">
        <f ca="1">Time!AP3+"VCW!3="</f>
        <v>#VALUE!</v>
      </c>
      <c r="CA5" t="e">
        <f ca="1">Time!AQ3+"VCW!3&gt;"</f>
        <v>#VALUE!</v>
      </c>
      <c r="CB5" t="e">
        <f ca="1">Time!AR3+"VCW!3?"</f>
        <v>#VALUE!</v>
      </c>
      <c r="CC5" t="e">
        <f ca="1">Time!AS3+"VCW!3@"</f>
        <v>#VALUE!</v>
      </c>
      <c r="CD5" t="e">
        <f ca="1">Time!AT3+"VCW!3A"</f>
        <v>#VALUE!</v>
      </c>
      <c r="CE5" t="e">
        <f ca="1">Time!AU3+"VCW!3B"</f>
        <v>#VALUE!</v>
      </c>
      <c r="CF5" t="e">
        <f ca="1">Time!AV3+"VCW!3C"</f>
        <v>#VALUE!</v>
      </c>
      <c r="CG5" t="e">
        <f ca="1">Time!AW3+"VCW!3D"</f>
        <v>#VALUE!</v>
      </c>
      <c r="CH5" t="e">
        <f ca="1">Time!AX3+"VCW!3E"</f>
        <v>#VALUE!</v>
      </c>
      <c r="CI5" t="e">
        <f ca="1">Time!AY3+"VCW!3F"</f>
        <v>#VALUE!</v>
      </c>
      <c r="CJ5" t="e">
        <f ca="1">Time!AZ3+"VCW!3G"</f>
        <v>#VALUE!</v>
      </c>
      <c r="CK5" t="e">
        <f ca="1">Time!BA3+"VCW!3H"</f>
        <v>#VALUE!</v>
      </c>
      <c r="CL5" t="e">
        <f ca="1">Time!BB3+"VCW!3I"</f>
        <v>#VALUE!</v>
      </c>
      <c r="CM5" t="e">
        <f ca="1">Time!BC3+"VCW!3J"</f>
        <v>#VALUE!</v>
      </c>
      <c r="CN5" t="e">
        <f ca="1">Time!BD3+"VCW!3K"</f>
        <v>#VALUE!</v>
      </c>
      <c r="CO5" t="e">
        <f ca="1">Time!BE3+"VCW!3L"</f>
        <v>#VALUE!</v>
      </c>
      <c r="CP5" t="e">
        <f ca="1">Time!BF3+"VCW!3M"</f>
        <v>#VALUE!</v>
      </c>
      <c r="CQ5" t="e">
        <f ca="1">Time!BG3+"VCW!3N"</f>
        <v>#VALUE!</v>
      </c>
      <c r="CR5" t="e">
        <f ca="1">Time!BH3+"VCW!3O"</f>
        <v>#VALUE!</v>
      </c>
      <c r="CS5" t="e">
        <f ca="1">Time!BI3+"VCW!3P"</f>
        <v>#VALUE!</v>
      </c>
      <c r="CT5" t="e">
        <f ca="1">Time!BJ3+"VCW!3Q"</f>
        <v>#VALUE!</v>
      </c>
      <c r="CU5" t="e">
        <f ca="1">Time!BK3+"VCW!3R"</f>
        <v>#VALUE!</v>
      </c>
      <c r="CV5" t="e">
        <f ca="1">Time!BL3+"VCW!3S"</f>
        <v>#VALUE!</v>
      </c>
      <c r="CW5" t="e">
        <f ca="1">Time!BM3+"VCW!3T"</f>
        <v>#VALUE!</v>
      </c>
      <c r="CX5" t="e">
        <f ca="1">Time!BN3+"VCW!3U"</f>
        <v>#VALUE!</v>
      </c>
      <c r="CY5" t="e">
        <f ca="1">Time!BO3+"VCW!3V"</f>
        <v>#VALUE!</v>
      </c>
      <c r="CZ5" t="e">
        <f ca="1">Time!BP3+"VCW!3W"</f>
        <v>#VALUE!</v>
      </c>
      <c r="DA5" t="e">
        <f ca="1">Time!BQ3+"VCW!3X"</f>
        <v>#VALUE!</v>
      </c>
      <c r="DB5" t="e">
        <f ca="1">Time!BR3+"VCW!3Y"</f>
        <v>#VALUE!</v>
      </c>
      <c r="DC5" t="e">
        <f ca="1">Time!BS3+"VCW!3Z"</f>
        <v>#VALUE!</v>
      </c>
      <c r="DD5" t="e">
        <f ca="1">Time!BT3+"VCW!3["</f>
        <v>#VALUE!</v>
      </c>
      <c r="DE5" t="e">
        <f ca="1">Time!BU3+"VCW!3\"</f>
        <v>#VALUE!</v>
      </c>
      <c r="DF5" t="e">
        <f ca="1">Time!BV3+"VCW!3]"</f>
        <v>#VALUE!</v>
      </c>
      <c r="DG5" t="e">
        <f ca="1">Time!BW3+"VCW!3^"</f>
        <v>#VALUE!</v>
      </c>
      <c r="DH5" t="e">
        <f ca="1">Time!BX3+"VCW!3_"</f>
        <v>#VALUE!</v>
      </c>
      <c r="DI5" t="e">
        <f ca="1">Time!BY3+"VCW!3`"</f>
        <v>#VALUE!</v>
      </c>
      <c r="DJ5" t="e">
        <f ca="1">Time!A4+"VCW!3a"</f>
        <v>#VALUE!</v>
      </c>
      <c r="DK5" t="e">
        <f ca="1">Time!B4+"VCW!3b"</f>
        <v>#VALUE!</v>
      </c>
      <c r="DL5" t="e">
        <f ca="1">Time!C4+"VCW!3c"</f>
        <v>#VALUE!</v>
      </c>
      <c r="DM5" t="e">
        <f ca="1">Time!D4+"VCW!3d"</f>
        <v>#VALUE!</v>
      </c>
      <c r="DN5" t="e">
        <f ca="1">Time!E4+"VCW!3e"</f>
        <v>#VALUE!</v>
      </c>
      <c r="DO5" t="e">
        <f ca="1">Time!F4+"VCW!3f"</f>
        <v>#VALUE!</v>
      </c>
      <c r="DP5" t="e">
        <f ca="1">Time!G4+"VCW!3g"</f>
        <v>#VALUE!</v>
      </c>
      <c r="DQ5" t="e">
        <f ca="1">Time!J4+"VCW!3h"</f>
        <v>#VALUE!</v>
      </c>
      <c r="DR5" t="e">
        <f ca="1">Time!K4+"VCW!3i"</f>
        <v>#VALUE!</v>
      </c>
      <c r="DS5" t="e">
        <f ca="1">Time!L4+"VCW!3j"</f>
        <v>#VALUE!</v>
      </c>
      <c r="DT5" t="e">
        <f ca="1">Time!M4+"VCW!3k"</f>
        <v>#VALUE!</v>
      </c>
      <c r="DU5" t="e">
        <f ca="1">Time!N4+"VCW!3l"</f>
        <v>#VALUE!</v>
      </c>
      <c r="DV5" t="e">
        <f ca="1">Time!O4+"VCW!3m"</f>
        <v>#VALUE!</v>
      </c>
      <c r="DW5" t="e">
        <f ca="1">Time!P4+"VCW!3n"</f>
        <v>#VALUE!</v>
      </c>
      <c r="DX5" t="e">
        <f ca="1">Time!Q4+"VCW!3o"</f>
        <v>#VALUE!</v>
      </c>
      <c r="DY5" t="e">
        <f ca="1">Time!R4+"VCW!3p"</f>
        <v>#VALUE!</v>
      </c>
      <c r="DZ5" t="e">
        <f ca="1">Time!S4+"VCW!3q"</f>
        <v>#VALUE!</v>
      </c>
      <c r="EA5" t="e">
        <f ca="1">Time!T4+"VCW!3r"</f>
        <v>#VALUE!</v>
      </c>
      <c r="EB5" t="e">
        <f ca="1">Time!U4+"VCW!3s"</f>
        <v>#VALUE!</v>
      </c>
      <c r="EC5" t="e">
        <f ca="1">Time!V4+"VCW!3t"</f>
        <v>#VALUE!</v>
      </c>
      <c r="ED5" t="e">
        <f ca="1">Time!W4+"VCW!3u"</f>
        <v>#VALUE!</v>
      </c>
      <c r="EE5" t="e">
        <f ca="1">Time!X4+"VCW!3v"</f>
        <v>#VALUE!</v>
      </c>
      <c r="EF5" t="e">
        <f ca="1">Time!Y4+"VCW!3w"</f>
        <v>#VALUE!</v>
      </c>
      <c r="EG5" t="e">
        <f ca="1">Time!Z4+"VCW!3x"</f>
        <v>#VALUE!</v>
      </c>
      <c r="EH5" t="e">
        <f ca="1">Time!AA4+"VCW!3y"</f>
        <v>#VALUE!</v>
      </c>
      <c r="EI5" t="e">
        <f ca="1">Time!AB4+"VCW!3z"</f>
        <v>#VALUE!</v>
      </c>
      <c r="EJ5" t="e">
        <f ca="1">Time!AC4+"VCW!3{"</f>
        <v>#VALUE!</v>
      </c>
      <c r="EK5" t="e">
        <f ca="1">Time!AD4+"VCW!3|"</f>
        <v>#VALUE!</v>
      </c>
      <c r="EL5" t="e">
        <f ca="1">Time!AE4+"VCW!3}"</f>
        <v>#VALUE!</v>
      </c>
      <c r="EM5" t="e">
        <f ca="1">Time!AF4+"VCW!3~"</f>
        <v>#VALUE!</v>
      </c>
      <c r="EN5" t="e">
        <f ca="1">Time!AG4+"VCW!4#"</f>
        <v>#VALUE!</v>
      </c>
      <c r="EO5" t="e">
        <f ca="1">Time!AH4+"VCW!4$"</f>
        <v>#VALUE!</v>
      </c>
      <c r="EP5" t="e">
        <f ca="1">Time!AI4+"VCW!4%"</f>
        <v>#VALUE!</v>
      </c>
      <c r="EQ5" t="e">
        <f ca="1">Time!AJ4+"VCW!4&amp;"</f>
        <v>#VALUE!</v>
      </c>
      <c r="ER5" t="e">
        <f ca="1">Time!AK4+"VCW!4'"</f>
        <v>#VALUE!</v>
      </c>
      <c r="ES5" t="e">
        <f ca="1">Time!AL4+"VCW!4("</f>
        <v>#VALUE!</v>
      </c>
      <c r="ET5" t="e">
        <f ca="1">Time!AM4+"VCW!4)"</f>
        <v>#VALUE!</v>
      </c>
      <c r="EU5" t="e">
        <f ca="1">Time!AN4+"VCW!4."</f>
        <v>#VALUE!</v>
      </c>
      <c r="EV5" t="e">
        <f ca="1">Time!AO4+"VCW!4/"</f>
        <v>#VALUE!</v>
      </c>
      <c r="EW5" t="e">
        <f ca="1">Time!AP4+"VCW!40"</f>
        <v>#VALUE!</v>
      </c>
      <c r="EX5" t="e">
        <f ca="1">Time!AQ4+"VCW!41"</f>
        <v>#VALUE!</v>
      </c>
      <c r="EY5" t="e">
        <f ca="1">Time!AR4+"VCW!42"</f>
        <v>#VALUE!</v>
      </c>
      <c r="EZ5" t="e">
        <f ca="1">Time!AS4+"VCW!43"</f>
        <v>#VALUE!</v>
      </c>
      <c r="FA5" t="e">
        <f ca="1">Time!AT4+"VCW!44"</f>
        <v>#VALUE!</v>
      </c>
      <c r="FB5" t="e">
        <f ca="1">Time!AU4+"VCW!45"</f>
        <v>#VALUE!</v>
      </c>
      <c r="FC5" t="e">
        <f ca="1">Time!AV4+"VCW!46"</f>
        <v>#VALUE!</v>
      </c>
      <c r="FD5" t="e">
        <f ca="1">Time!AW4+"VCW!47"</f>
        <v>#VALUE!</v>
      </c>
      <c r="FE5" t="e">
        <f ca="1">Time!AX4+"VCW!48"</f>
        <v>#VALUE!</v>
      </c>
      <c r="FF5" t="e">
        <f ca="1">Time!AY4+"VCW!49"</f>
        <v>#VALUE!</v>
      </c>
      <c r="FG5" t="e">
        <f ca="1">Time!AZ4+"VCW!4:"</f>
        <v>#VALUE!</v>
      </c>
      <c r="FH5" t="e">
        <f ca="1">Time!BA4+"VCW!4;"</f>
        <v>#VALUE!</v>
      </c>
      <c r="FI5" t="e">
        <f ca="1">Time!BB4+"VCW!4&lt;"</f>
        <v>#VALUE!</v>
      </c>
      <c r="FJ5" t="e">
        <f ca="1">Time!BC4+"VCW!4="</f>
        <v>#VALUE!</v>
      </c>
      <c r="FK5" t="e">
        <f ca="1">Time!BD4+"VCW!4&gt;"</f>
        <v>#VALUE!</v>
      </c>
      <c r="FL5" t="e">
        <f ca="1">Time!BE4+"VCW!4?"</f>
        <v>#VALUE!</v>
      </c>
      <c r="FM5" t="e">
        <f ca="1">Time!BF4+"VCW!4@"</f>
        <v>#VALUE!</v>
      </c>
      <c r="FN5" t="e">
        <f ca="1">Time!BG4+"VCW!4A"</f>
        <v>#VALUE!</v>
      </c>
      <c r="FO5" t="e">
        <f ca="1">Time!BH4+"VCW!4B"</f>
        <v>#VALUE!</v>
      </c>
      <c r="FP5" t="e">
        <f ca="1">Time!BI4+"VCW!4C"</f>
        <v>#VALUE!</v>
      </c>
      <c r="FQ5" t="e">
        <f ca="1">Time!BJ4+"VCW!4D"</f>
        <v>#VALUE!</v>
      </c>
      <c r="FR5" t="e">
        <f ca="1">Time!BK4+"VCW!4E"</f>
        <v>#VALUE!</v>
      </c>
      <c r="FS5" t="e">
        <f ca="1">Time!BL4+"VCW!4F"</f>
        <v>#VALUE!</v>
      </c>
      <c r="FT5" t="e">
        <f ca="1">Time!BM4+"VCW!4G"</f>
        <v>#VALUE!</v>
      </c>
      <c r="FU5" t="e">
        <f ca="1">Time!BN4+"VCW!4H"</f>
        <v>#VALUE!</v>
      </c>
      <c r="FV5" t="e">
        <f ca="1">Time!BO4+"VCW!4I"</f>
        <v>#VALUE!</v>
      </c>
      <c r="FW5" t="e">
        <f ca="1">Time!BP4+"VCW!4J"</f>
        <v>#VALUE!</v>
      </c>
      <c r="FX5" t="e">
        <f ca="1">Time!BQ4+"VCW!4K"</f>
        <v>#VALUE!</v>
      </c>
      <c r="FY5" t="e">
        <f ca="1">Time!BR4+"VCW!4L"</f>
        <v>#VALUE!</v>
      </c>
      <c r="FZ5" t="e">
        <f ca="1">Time!BS4+"VCW!4M"</f>
        <v>#VALUE!</v>
      </c>
      <c r="GA5" t="e">
        <f ca="1">Time!BT4+"VCW!4N"</f>
        <v>#VALUE!</v>
      </c>
      <c r="GB5" t="e">
        <f ca="1">Time!BU4+"VCW!4O"</f>
        <v>#VALUE!</v>
      </c>
      <c r="GC5" t="e">
        <f ca="1">Time!BV4+"VCW!4P"</f>
        <v>#VALUE!</v>
      </c>
      <c r="GD5" t="e">
        <f ca="1">Time!BW4+"VCW!4Q"</f>
        <v>#VALUE!</v>
      </c>
      <c r="GE5" t="e">
        <f ca="1">Time!BX4+"VCW!4R"</f>
        <v>#VALUE!</v>
      </c>
      <c r="GF5" t="e">
        <f ca="1">Time!BY4+"VCW!4S"</f>
        <v>#VALUE!</v>
      </c>
      <c r="GG5" t="e">
        <f ca="1">Time!A5+"VCW!4T"</f>
        <v>#VALUE!</v>
      </c>
      <c r="GH5" t="e">
        <f ca="1">Time!B5+"VCW!4U"</f>
        <v>#VALUE!</v>
      </c>
      <c r="GI5" t="e">
        <f ca="1">Time!C5+"VCW!4V"</f>
        <v>#VALUE!</v>
      </c>
      <c r="GJ5" t="e">
        <f ca="1">Time!D5+"VCW!4W"</f>
        <v>#VALUE!</v>
      </c>
      <c r="GK5" t="e">
        <f ca="1">Time!E5+"VCW!4X"</f>
        <v>#VALUE!</v>
      </c>
      <c r="GL5" t="e">
        <f ca="1">Time!F5+"VCW!4Y"</f>
        <v>#VALUE!</v>
      </c>
      <c r="GM5" t="e">
        <f ca="1">Time!G5+"VCW!4Z"</f>
        <v>#VALUE!</v>
      </c>
      <c r="GN5" t="e">
        <f ca="1">Time!H5+"VCW!4["</f>
        <v>#VALUE!</v>
      </c>
      <c r="GO5" t="e">
        <f ca="1">Time!J5+"VCW!4\"</f>
        <v>#VALUE!</v>
      </c>
      <c r="GP5" t="e">
        <f ca="1">Time!K5+"VCW!4]"</f>
        <v>#VALUE!</v>
      </c>
      <c r="GQ5" t="e">
        <f ca="1">Time!L5+"VCW!4^"</f>
        <v>#VALUE!</v>
      </c>
      <c r="GR5" t="e">
        <f ca="1">Time!M5+"VCW!4_"</f>
        <v>#VALUE!</v>
      </c>
      <c r="GS5" t="e">
        <f ca="1">Time!N5+"VCW!4`"</f>
        <v>#VALUE!</v>
      </c>
      <c r="GT5" t="e">
        <f ca="1">Time!O5+"VCW!4a"</f>
        <v>#VALUE!</v>
      </c>
      <c r="GU5" t="e">
        <f ca="1">Time!P5+"VCW!4b"</f>
        <v>#VALUE!</v>
      </c>
      <c r="GV5" t="e">
        <f ca="1">Time!Q5+"VCW!4c"</f>
        <v>#VALUE!</v>
      </c>
      <c r="GW5" t="e">
        <f ca="1">Time!R5+"VCW!4d"</f>
        <v>#VALUE!</v>
      </c>
      <c r="GX5" t="e">
        <f ca="1">Time!S5+"VCW!4e"</f>
        <v>#VALUE!</v>
      </c>
      <c r="GY5" t="e">
        <f ca="1">Time!T5+"VCW!4f"</f>
        <v>#VALUE!</v>
      </c>
      <c r="GZ5" t="e">
        <f ca="1">Time!U5+"VCW!4g"</f>
        <v>#VALUE!</v>
      </c>
      <c r="HA5" t="e">
        <f ca="1">Time!V5+"VCW!4h"</f>
        <v>#VALUE!</v>
      </c>
      <c r="HB5" t="e">
        <f ca="1">Time!W5+"VCW!4i"</f>
        <v>#VALUE!</v>
      </c>
      <c r="HC5" t="e">
        <f ca="1">Time!X5+"VCW!4j"</f>
        <v>#VALUE!</v>
      </c>
      <c r="HD5" t="e">
        <f ca="1">Time!Y5+"VCW!4k"</f>
        <v>#VALUE!</v>
      </c>
      <c r="HE5" t="e">
        <f ca="1">Time!Z5+"VCW!4l"</f>
        <v>#VALUE!</v>
      </c>
      <c r="HF5" t="e">
        <f ca="1">Time!AA5+"VCW!4m"</f>
        <v>#VALUE!</v>
      </c>
      <c r="HG5" t="e">
        <f ca="1">Time!AB5+"VCW!4n"</f>
        <v>#VALUE!</v>
      </c>
      <c r="HH5" t="e">
        <f ca="1">Time!AC5+"VCW!4o"</f>
        <v>#VALUE!</v>
      </c>
      <c r="HI5" t="e">
        <f ca="1">Time!AD5+"VCW!4p"</f>
        <v>#VALUE!</v>
      </c>
      <c r="HJ5" t="e">
        <f ca="1">Time!AE5+"VCW!4q"</f>
        <v>#VALUE!</v>
      </c>
      <c r="HK5" t="e">
        <f ca="1">Time!AF5+"VCW!4r"</f>
        <v>#VALUE!</v>
      </c>
      <c r="HL5" t="e">
        <f ca="1">Time!AG5+"VCW!4s"</f>
        <v>#VALUE!</v>
      </c>
      <c r="HM5" t="e">
        <f ca="1">Time!AH5+"VCW!4t"</f>
        <v>#VALUE!</v>
      </c>
      <c r="HN5" t="e">
        <f ca="1">Time!AI5+"VCW!4u"</f>
        <v>#VALUE!</v>
      </c>
      <c r="HO5" t="e">
        <f ca="1">Time!AJ5+"VCW!4v"</f>
        <v>#VALUE!</v>
      </c>
      <c r="HP5" t="e">
        <f ca="1">Time!AK5+"VCW!4w"</f>
        <v>#VALUE!</v>
      </c>
      <c r="HQ5" t="e">
        <f ca="1">Time!AL5+"VCW!4x"</f>
        <v>#VALUE!</v>
      </c>
      <c r="HR5" t="e">
        <f ca="1">Time!AM5+"VCW!4y"</f>
        <v>#VALUE!</v>
      </c>
      <c r="HS5" t="e">
        <f ca="1">Time!AN5+"VCW!4z"</f>
        <v>#VALUE!</v>
      </c>
      <c r="HT5" t="e">
        <f ca="1">Time!AO5+"VCW!4{"</f>
        <v>#VALUE!</v>
      </c>
      <c r="HU5" t="e">
        <f ca="1">Time!AP5+"VCW!4|"</f>
        <v>#VALUE!</v>
      </c>
      <c r="HV5" t="e">
        <f ca="1">Time!AQ5+"VCW!4}"</f>
        <v>#VALUE!</v>
      </c>
      <c r="HW5" t="e">
        <f ca="1">Time!AR5+"VCW!4~"</f>
        <v>#VALUE!</v>
      </c>
      <c r="HX5" t="e">
        <f ca="1">Time!AS5+"VCW!5#"</f>
        <v>#VALUE!</v>
      </c>
      <c r="HY5" t="e">
        <f ca="1">Time!AT5+"VCW!5$"</f>
        <v>#VALUE!</v>
      </c>
      <c r="HZ5" t="e">
        <f ca="1">Time!AU5+"VCW!5%"</f>
        <v>#VALUE!</v>
      </c>
      <c r="IA5" t="e">
        <f ca="1">Time!AV5+"VCW!5&amp;"</f>
        <v>#VALUE!</v>
      </c>
      <c r="IB5" t="e">
        <f ca="1">Time!AW5+"VCW!5'"</f>
        <v>#VALUE!</v>
      </c>
      <c r="IC5" t="e">
        <f ca="1">Time!AX5+"VCW!5("</f>
        <v>#VALUE!</v>
      </c>
      <c r="ID5" t="e">
        <f ca="1">Time!AY5+"VCW!5)"</f>
        <v>#VALUE!</v>
      </c>
      <c r="IE5" t="e">
        <f ca="1">Time!AZ5+"VCW!5."</f>
        <v>#VALUE!</v>
      </c>
      <c r="IF5" t="e">
        <f ca="1">Time!BA5+"VCW!5/"</f>
        <v>#VALUE!</v>
      </c>
      <c r="IG5" t="e">
        <f ca="1">Time!BB5+"VCW!50"</f>
        <v>#VALUE!</v>
      </c>
      <c r="IH5" t="e">
        <f ca="1">Time!BC5+"VCW!51"</f>
        <v>#VALUE!</v>
      </c>
      <c r="II5" t="e">
        <f ca="1">Time!BD5+"VCW!52"</f>
        <v>#VALUE!</v>
      </c>
      <c r="IJ5" t="e">
        <f ca="1">Time!BE5+"VCW!53"</f>
        <v>#VALUE!</v>
      </c>
      <c r="IK5" t="e">
        <f ca="1">Time!BF5+"VCW!54"</f>
        <v>#VALUE!</v>
      </c>
      <c r="IL5" t="e">
        <f ca="1">Time!BG5+"VCW!55"</f>
        <v>#VALUE!</v>
      </c>
      <c r="IM5" t="e">
        <f ca="1">Time!BH5+"VCW!56"</f>
        <v>#VALUE!</v>
      </c>
      <c r="IN5" t="e">
        <f ca="1">Time!BI5+"VCW!57"</f>
        <v>#VALUE!</v>
      </c>
      <c r="IO5" t="e">
        <f ca="1">Time!BJ5+"VCW!58"</f>
        <v>#VALUE!</v>
      </c>
      <c r="IP5" t="e">
        <f ca="1">Time!BK5+"VCW!59"</f>
        <v>#VALUE!</v>
      </c>
      <c r="IQ5" t="e">
        <f ca="1">Time!BL5+"VCW!5:"</f>
        <v>#VALUE!</v>
      </c>
      <c r="IR5" t="e">
        <f ca="1">Time!BM5+"VCW!5;"</f>
        <v>#VALUE!</v>
      </c>
      <c r="IS5" t="e">
        <f ca="1">Time!BN5+"VCW!5&lt;"</f>
        <v>#VALUE!</v>
      </c>
      <c r="IT5" t="e">
        <f ca="1">Time!BO5+"VCW!5="</f>
        <v>#VALUE!</v>
      </c>
      <c r="IU5" t="e">
        <f ca="1">Time!BP5+"VCW!5&gt;"</f>
        <v>#VALUE!</v>
      </c>
      <c r="IV5" t="e">
        <f ca="1">Time!BQ5+"VCW!5?"</f>
        <v>#VALUE!</v>
      </c>
    </row>
    <row r="6" spans="1:256" x14ac:dyDescent="0.2">
      <c r="F6" t="e">
        <f ca="1">Time!BR5+"VCW!5@"</f>
        <v>#VALUE!</v>
      </c>
      <c r="G6" t="e">
        <f ca="1">Time!BS5+"VCW!5A"</f>
        <v>#VALUE!</v>
      </c>
      <c r="H6" t="e">
        <f ca="1">Time!BT5+"VCW!5B"</f>
        <v>#VALUE!</v>
      </c>
      <c r="I6" t="e">
        <f ca="1">Time!BU5+"VCW!5C"</f>
        <v>#VALUE!</v>
      </c>
      <c r="J6" t="e">
        <f ca="1">Time!BV5+"VCW!5D"</f>
        <v>#VALUE!</v>
      </c>
      <c r="K6" t="e">
        <f ca="1">Time!BW5+"VCW!5E"</f>
        <v>#VALUE!</v>
      </c>
      <c r="L6" t="e">
        <f ca="1">Time!BX5+"VCW!5F"</f>
        <v>#VALUE!</v>
      </c>
      <c r="M6" t="e">
        <f ca="1">Time!BY5+"VCW!5G"</f>
        <v>#VALUE!</v>
      </c>
      <c r="N6" t="e">
        <f ca="1">Time!A7+"VCW!5H"</f>
        <v>#VALUE!</v>
      </c>
      <c r="O6" t="e">
        <f ca="1">Time!B7+"VCW!5I"</f>
        <v>#VALUE!</v>
      </c>
      <c r="P6" t="e">
        <f ca="1">Time!C7+"VCW!5J"</f>
        <v>#VALUE!</v>
      </c>
      <c r="Q6" t="e">
        <f ca="1">Time!D7+"VCW!5K"</f>
        <v>#VALUE!</v>
      </c>
      <c r="R6" t="e">
        <f ca="1">Time!G7+"VCW!5L"</f>
        <v>#VALUE!</v>
      </c>
      <c r="S6" t="e">
        <f ca="1">Time!A8+"VCW!5M"</f>
        <v>#VALUE!</v>
      </c>
      <c r="T6" t="e">
        <f ca="1">Time!B8+"VCW!5N"</f>
        <v>#VALUE!</v>
      </c>
      <c r="U6" t="e">
        <f ca="1">Time!C8+"VCW!5O"</f>
        <v>#VALUE!</v>
      </c>
      <c r="V6" t="e">
        <f ca="1">Time!D8+"VCW!5P"</f>
        <v>#VALUE!</v>
      </c>
      <c r="W6" t="e">
        <f ca="1">Time!G8+"VCW!5Q"</f>
        <v>#VALUE!</v>
      </c>
      <c r="X6" t="e">
        <f ca="1">Time!A9+"VCW!5R"</f>
        <v>#VALUE!</v>
      </c>
      <c r="Y6" t="e">
        <f ca="1">Time!B9+"VCW!5S"</f>
        <v>#VALUE!</v>
      </c>
      <c r="Z6" t="e">
        <f ca="1">Time!C9+"VCW!5T"</f>
        <v>#VALUE!</v>
      </c>
      <c r="AA6" t="e">
        <f ca="1">Time!E9+"VCW!5U"</f>
        <v>#VALUE!</v>
      </c>
      <c r="AB6" t="e">
        <f ca="1">Time!G9+"VCW!5V"</f>
        <v>#VALUE!</v>
      </c>
      <c r="AC6" t="e">
        <f ca="1">Time!I9+"VCW!5W"</f>
        <v>#VALUE!</v>
      </c>
      <c r="AD6" t="e">
        <f ca="1">Time!J9+"VCW!5X"</f>
        <v>#VALUE!</v>
      </c>
      <c r="AE6" t="e">
        <f ca="1">Time!K9+"VCW!5Y"</f>
        <v>#VALUE!</v>
      </c>
      <c r="AF6" t="e">
        <f ca="1">Time!L9+"VCW!5Z"</f>
        <v>#VALUE!</v>
      </c>
      <c r="AG6" t="e">
        <f ca="1">Time!M9+"VCW!5["</f>
        <v>#VALUE!</v>
      </c>
      <c r="AH6" t="e">
        <f ca="1">Time!N9+"VCW!5\"</f>
        <v>#VALUE!</v>
      </c>
      <c r="AI6" t="e">
        <f ca="1">Time!O9+"VCW!5]"</f>
        <v>#VALUE!</v>
      </c>
      <c r="AJ6" t="e">
        <f ca="1">Time!P9+"VCW!5^"</f>
        <v>#VALUE!</v>
      </c>
      <c r="AK6" t="e">
        <f ca="1">Time!Q9+"VCW!5_"</f>
        <v>#VALUE!</v>
      </c>
      <c r="AL6" t="e">
        <f ca="1">Time!R9+"VCW!5`"</f>
        <v>#VALUE!</v>
      </c>
      <c r="AM6" t="e">
        <f ca="1">Time!S9+"VCW!5a"</f>
        <v>#VALUE!</v>
      </c>
      <c r="AN6" t="e">
        <f ca="1">Time!T9+"VCW!5b"</f>
        <v>#VALUE!</v>
      </c>
      <c r="AO6" t="e">
        <f ca="1">Time!U9+"VCW!5c"</f>
        <v>#VALUE!</v>
      </c>
      <c r="AP6" t="e">
        <f ca="1">Time!V9+"VCW!5d"</f>
        <v>#VALUE!</v>
      </c>
      <c r="AQ6" t="e">
        <f ca="1">Time!W9+"VCW!5e"</f>
        <v>#VALUE!</v>
      </c>
      <c r="AR6" t="e">
        <f ca="1">Time!X9+"VCW!5f"</f>
        <v>#VALUE!</v>
      </c>
      <c r="AS6" t="e">
        <f ca="1">Time!Y9+"VCW!5g"</f>
        <v>#VALUE!</v>
      </c>
      <c r="AT6" t="e">
        <f ca="1">Time!Z9+"VCW!5h"</f>
        <v>#VALUE!</v>
      </c>
      <c r="AU6" t="e">
        <f ca="1">Time!AA9+"VCW!5i"</f>
        <v>#VALUE!</v>
      </c>
      <c r="AV6" t="e">
        <f ca="1">Time!AB9+"VCW!5j"</f>
        <v>#VALUE!</v>
      </c>
      <c r="AW6" t="e">
        <f ca="1">Time!AC9+"VCW!5k"</f>
        <v>#VALUE!</v>
      </c>
      <c r="AX6" t="e">
        <f ca="1">Time!AD9+"VCW!5l"</f>
        <v>#VALUE!</v>
      </c>
      <c r="AY6" t="e">
        <f ca="1">Time!AE9+"VCW!5m"</f>
        <v>#VALUE!</v>
      </c>
      <c r="AZ6" t="e">
        <f ca="1">Time!AF9+"VCW!5n"</f>
        <v>#VALUE!</v>
      </c>
      <c r="BA6" t="e">
        <f ca="1">Time!AG9+"VCW!5o"</f>
        <v>#VALUE!</v>
      </c>
      <c r="BB6" t="e">
        <f ca="1">Time!AH9+"VCW!5p"</f>
        <v>#VALUE!</v>
      </c>
      <c r="BC6" t="e">
        <f ca="1">Time!AI9+"VCW!5q"</f>
        <v>#VALUE!</v>
      </c>
      <c r="BD6" t="e">
        <f ca="1">Time!AJ9+"VCW!5r"</f>
        <v>#VALUE!</v>
      </c>
      <c r="BE6" t="e">
        <f ca="1">Time!AK9+"VCW!5s"</f>
        <v>#VALUE!</v>
      </c>
      <c r="BF6" t="e">
        <f ca="1">Time!AL9+"VCW!5t"</f>
        <v>#VALUE!</v>
      </c>
      <c r="BG6" t="e">
        <f ca="1">Time!AM9+"VCW!5u"</f>
        <v>#VALUE!</v>
      </c>
      <c r="BH6" t="e">
        <f ca="1">Time!AN9+"VCW!5v"</f>
        <v>#VALUE!</v>
      </c>
      <c r="BI6" t="e">
        <f ca="1">Time!AO9+"VCW!5w"</f>
        <v>#VALUE!</v>
      </c>
      <c r="BJ6" t="e">
        <f ca="1">Time!AP9+"VCW!5x"</f>
        <v>#VALUE!</v>
      </c>
      <c r="BK6" t="e">
        <f ca="1">Time!AQ9+"VCW!5y"</f>
        <v>#VALUE!</v>
      </c>
      <c r="BL6" t="e">
        <f ca="1">Time!AR9+"VCW!5z"</f>
        <v>#VALUE!</v>
      </c>
      <c r="BM6" t="e">
        <f ca="1">Time!AS9+"VCW!5{"</f>
        <v>#VALUE!</v>
      </c>
      <c r="BN6" t="e">
        <f ca="1">Time!AT9+"VCW!5|"</f>
        <v>#VALUE!</v>
      </c>
      <c r="BO6" t="e">
        <f ca="1">Time!AU9+"VCW!5}"</f>
        <v>#VALUE!</v>
      </c>
      <c r="BP6" t="e">
        <f ca="1">Time!AV9+"VCW!5~"</f>
        <v>#VALUE!</v>
      </c>
      <c r="BQ6" t="e">
        <f ca="1">Time!AW9+"VCW!6#"</f>
        <v>#VALUE!</v>
      </c>
      <c r="BR6" t="e">
        <f ca="1">Time!AX9+"VCW!6$"</f>
        <v>#VALUE!</v>
      </c>
      <c r="BS6" t="e">
        <f ca="1">Time!AY9+"VCW!6%"</f>
        <v>#VALUE!</v>
      </c>
      <c r="BT6" t="e">
        <f ca="1">Time!AZ9+"VCW!6&amp;"</f>
        <v>#VALUE!</v>
      </c>
      <c r="BU6" t="e">
        <f ca="1">Time!BA9+"VCW!6'"</f>
        <v>#VALUE!</v>
      </c>
      <c r="BV6" t="e">
        <f ca="1">Time!BB9+"VCW!6("</f>
        <v>#VALUE!</v>
      </c>
      <c r="BW6" t="e">
        <f ca="1">Time!BC9+"VCW!6)"</f>
        <v>#VALUE!</v>
      </c>
      <c r="BX6" t="e">
        <f ca="1">Time!BD9+"VCW!6."</f>
        <v>#VALUE!</v>
      </c>
      <c r="BY6" t="e">
        <f ca="1">Time!BE9+"VCW!6/"</f>
        <v>#VALUE!</v>
      </c>
      <c r="BZ6" t="e">
        <f ca="1">Time!BF9+"VCW!60"</f>
        <v>#VALUE!</v>
      </c>
      <c r="CA6" t="e">
        <f ca="1">Time!BG9+"VCW!61"</f>
        <v>#VALUE!</v>
      </c>
      <c r="CB6" t="e">
        <f ca="1">Time!BH9+"VCW!62"</f>
        <v>#VALUE!</v>
      </c>
      <c r="CC6" t="e">
        <f ca="1">Time!BI9+"VCW!63"</f>
        <v>#VALUE!</v>
      </c>
      <c r="CD6" t="e">
        <f ca="1">Time!BJ9+"VCW!64"</f>
        <v>#VALUE!</v>
      </c>
      <c r="CE6" t="e">
        <f ca="1">Time!BK9+"VCW!65"</f>
        <v>#VALUE!</v>
      </c>
      <c r="CF6" t="e">
        <f ca="1">Time!BL9+"VCW!66"</f>
        <v>#VALUE!</v>
      </c>
      <c r="CG6" t="e">
        <f ca="1">Time!BM9+"VCW!67"</f>
        <v>#VALUE!</v>
      </c>
      <c r="CH6" t="e">
        <f ca="1">Time!BN9+"VCW!68"</f>
        <v>#VALUE!</v>
      </c>
      <c r="CI6" t="e">
        <f ca="1">Time!BO9+"VCW!69"</f>
        <v>#VALUE!</v>
      </c>
      <c r="CJ6" t="e">
        <f ca="1">Time!BP9+"VCW!6:"</f>
        <v>#VALUE!</v>
      </c>
      <c r="CK6" t="e">
        <f ca="1">Time!BQ9+"VCW!6;"</f>
        <v>#VALUE!</v>
      </c>
      <c r="CL6" t="e">
        <f ca="1">Time!BR9+"VCW!6&lt;"</f>
        <v>#VALUE!</v>
      </c>
      <c r="CM6" t="e">
        <f ca="1">Time!BS9+"VCW!6="</f>
        <v>#VALUE!</v>
      </c>
      <c r="CN6" t="e">
        <f ca="1">Time!BT9+"VCW!6&gt;"</f>
        <v>#VALUE!</v>
      </c>
      <c r="CO6" t="e">
        <f ca="1">Time!BU9+"VCW!6?"</f>
        <v>#VALUE!</v>
      </c>
      <c r="CP6" t="e">
        <f ca="1">Time!BV9+"VCW!6@"</f>
        <v>#VALUE!</v>
      </c>
      <c r="CQ6" t="e">
        <f ca="1">Time!BW9+"VCW!6A"</f>
        <v>#VALUE!</v>
      </c>
      <c r="CR6" t="e">
        <f ca="1">Time!BX9+"VCW!6B"</f>
        <v>#VALUE!</v>
      </c>
      <c r="CS6" t="e">
        <f ca="1">Time!BY9+"VCW!6C"</f>
        <v>#VALUE!</v>
      </c>
      <c r="CT6" t="e">
        <f ca="1">Time!A10+"VCW!6D"</f>
        <v>#VALUE!</v>
      </c>
      <c r="CU6" t="e">
        <f ca="1">Time!B10+"VCW!6E"</f>
        <v>#VALUE!</v>
      </c>
      <c r="CV6" t="e">
        <f ca="1">Time!C10+"VCW!6F"</f>
        <v>#VALUE!</v>
      </c>
      <c r="CW6" t="e">
        <f ca="1">Time!D10+"VCW!6G"</f>
        <v>#VALUE!</v>
      </c>
      <c r="CX6" t="e">
        <f ca="1">Time!E10+"VCW!6H"</f>
        <v>#VALUE!</v>
      </c>
      <c r="CY6" t="e">
        <f ca="1">Time!G10+"VCW!6I"</f>
        <v>#VALUE!</v>
      </c>
      <c r="CZ6" t="e">
        <f ca="1">Time!H10+"VCW!6J"</f>
        <v>#VALUE!</v>
      </c>
      <c r="DA6" t="e">
        <f ca="1">Time!J10+"VCW!6K"</f>
        <v>#VALUE!</v>
      </c>
      <c r="DB6" t="e">
        <f ca="1">Time!K10+"VCW!6L"</f>
        <v>#VALUE!</v>
      </c>
      <c r="DC6" t="e">
        <f ca="1">Time!L10+"VCW!6M"</f>
        <v>#VALUE!</v>
      </c>
      <c r="DD6" t="e">
        <f ca="1">Time!M10+"VCW!6N"</f>
        <v>#VALUE!</v>
      </c>
      <c r="DE6" t="e">
        <f ca="1">Time!N10+"VCW!6O"</f>
        <v>#VALUE!</v>
      </c>
      <c r="DF6" t="e">
        <f ca="1">Time!O10+"VCW!6P"</f>
        <v>#VALUE!</v>
      </c>
      <c r="DG6" t="e">
        <f ca="1">Time!P10+"VCW!6Q"</f>
        <v>#VALUE!</v>
      </c>
      <c r="DH6" t="e">
        <f ca="1">Time!Q10+"VCW!6R"</f>
        <v>#VALUE!</v>
      </c>
      <c r="DI6" t="e">
        <f ca="1">Time!R10+"VCW!6S"</f>
        <v>#VALUE!</v>
      </c>
      <c r="DJ6" t="e">
        <f ca="1">Time!S10+"VCW!6T"</f>
        <v>#VALUE!</v>
      </c>
      <c r="DK6" t="e">
        <f ca="1">Time!T10+"VCW!6U"</f>
        <v>#VALUE!</v>
      </c>
      <c r="DL6" t="e">
        <f ca="1">Time!U10+"VCW!6V"</f>
        <v>#VALUE!</v>
      </c>
      <c r="DM6" t="e">
        <f ca="1">Time!V10+"VCW!6W"</f>
        <v>#VALUE!</v>
      </c>
      <c r="DN6" t="e">
        <f ca="1">Time!W10+"VCW!6X"</f>
        <v>#VALUE!</v>
      </c>
      <c r="DO6" t="e">
        <f ca="1">Time!X10+"VCW!6Y"</f>
        <v>#VALUE!</v>
      </c>
      <c r="DP6" t="e">
        <f ca="1">Time!Y10+"VCW!6Z"</f>
        <v>#VALUE!</v>
      </c>
      <c r="DQ6" t="e">
        <f ca="1">Time!Z10+"VCW!6["</f>
        <v>#VALUE!</v>
      </c>
      <c r="DR6" t="e">
        <f ca="1">Time!AA10+"VCW!6\"</f>
        <v>#VALUE!</v>
      </c>
      <c r="DS6" t="e">
        <f ca="1">Time!AB10+"VCW!6]"</f>
        <v>#VALUE!</v>
      </c>
      <c r="DT6" t="e">
        <f ca="1">Time!AC10+"VCW!6^"</f>
        <v>#VALUE!</v>
      </c>
      <c r="DU6" t="e">
        <f ca="1">Time!AD10+"VCW!6_"</f>
        <v>#VALUE!</v>
      </c>
      <c r="DV6" t="e">
        <f ca="1">Time!AE10+"VCW!6`"</f>
        <v>#VALUE!</v>
      </c>
      <c r="DW6" t="e">
        <f ca="1">Time!AF10+"VCW!6a"</f>
        <v>#VALUE!</v>
      </c>
      <c r="DX6" t="e">
        <f ca="1">Time!AG10+"VCW!6b"</f>
        <v>#VALUE!</v>
      </c>
      <c r="DY6" t="e">
        <f ca="1">Time!AH10+"VCW!6c"</f>
        <v>#VALUE!</v>
      </c>
      <c r="DZ6" t="e">
        <f ca="1">Time!AI10+"VCW!6d"</f>
        <v>#VALUE!</v>
      </c>
      <c r="EA6" t="e">
        <f ca="1">Time!AJ10+"VCW!6e"</f>
        <v>#VALUE!</v>
      </c>
      <c r="EB6" t="e">
        <f ca="1">Time!AK10+"VCW!6f"</f>
        <v>#VALUE!</v>
      </c>
      <c r="EC6" t="e">
        <f ca="1">Time!AL10+"VCW!6g"</f>
        <v>#VALUE!</v>
      </c>
      <c r="ED6" t="e">
        <f ca="1">Time!AM10+"VCW!6h"</f>
        <v>#VALUE!</v>
      </c>
      <c r="EE6" t="e">
        <f ca="1">Time!AN10+"VCW!6i"</f>
        <v>#VALUE!</v>
      </c>
      <c r="EF6" t="e">
        <f ca="1">Time!AO10+"VCW!6j"</f>
        <v>#VALUE!</v>
      </c>
      <c r="EG6" t="e">
        <f ca="1">Time!AP10+"VCW!6k"</f>
        <v>#VALUE!</v>
      </c>
      <c r="EH6" t="e">
        <f ca="1">Time!AQ10+"VCW!6l"</f>
        <v>#VALUE!</v>
      </c>
      <c r="EI6" t="e">
        <f ca="1">Time!AR10+"VCW!6m"</f>
        <v>#VALUE!</v>
      </c>
      <c r="EJ6" t="e">
        <f ca="1">Time!AS10+"VCW!6n"</f>
        <v>#VALUE!</v>
      </c>
      <c r="EK6" t="e">
        <f ca="1">Time!AT10+"VCW!6o"</f>
        <v>#VALUE!</v>
      </c>
      <c r="EL6" t="e">
        <f ca="1">Time!AU10+"VCW!6p"</f>
        <v>#VALUE!</v>
      </c>
      <c r="EM6" t="e">
        <f ca="1">Time!AV10+"VCW!6q"</f>
        <v>#VALUE!</v>
      </c>
      <c r="EN6" t="e">
        <f ca="1">Time!AW10+"VCW!6r"</f>
        <v>#VALUE!</v>
      </c>
      <c r="EO6" t="e">
        <f ca="1">Time!AX10+"VCW!6s"</f>
        <v>#VALUE!</v>
      </c>
      <c r="EP6" t="e">
        <f ca="1">Time!AY10+"VCW!6t"</f>
        <v>#VALUE!</v>
      </c>
      <c r="EQ6" t="e">
        <f ca="1">Time!AZ10+"VCW!6u"</f>
        <v>#VALUE!</v>
      </c>
      <c r="ER6" t="e">
        <f ca="1">Time!BA10+"VCW!6v"</f>
        <v>#VALUE!</v>
      </c>
      <c r="ES6" t="e">
        <f ca="1">Time!BB10+"VCW!6w"</f>
        <v>#VALUE!</v>
      </c>
      <c r="ET6" t="e">
        <f ca="1">Time!BC10+"VCW!6x"</f>
        <v>#VALUE!</v>
      </c>
      <c r="EU6" t="e">
        <f ca="1">Time!BD10+"VCW!6y"</f>
        <v>#VALUE!</v>
      </c>
      <c r="EV6" t="e">
        <f ca="1">Time!BE10+"VCW!6z"</f>
        <v>#VALUE!</v>
      </c>
      <c r="EW6" t="e">
        <f ca="1">Time!BF10+"VCW!6{"</f>
        <v>#VALUE!</v>
      </c>
      <c r="EX6" t="e">
        <f ca="1">Time!BG10+"VCW!6|"</f>
        <v>#VALUE!</v>
      </c>
      <c r="EY6" t="e">
        <f ca="1">Time!BH10+"VCW!6}"</f>
        <v>#VALUE!</v>
      </c>
      <c r="EZ6" t="e">
        <f ca="1">Time!BI10+"VCW!6~"</f>
        <v>#VALUE!</v>
      </c>
      <c r="FA6" t="e">
        <f ca="1">Time!BJ10+"VCW!7#"</f>
        <v>#VALUE!</v>
      </c>
      <c r="FB6" t="e">
        <f ca="1">Time!BK10+"VCW!7$"</f>
        <v>#VALUE!</v>
      </c>
      <c r="FC6" t="e">
        <f ca="1">Time!BL10+"VCW!7%"</f>
        <v>#VALUE!</v>
      </c>
      <c r="FD6" t="e">
        <f ca="1">Time!BM10+"VCW!7&amp;"</f>
        <v>#VALUE!</v>
      </c>
      <c r="FE6" t="e">
        <f ca="1">Time!BN10+"VCW!7'"</f>
        <v>#VALUE!</v>
      </c>
      <c r="FF6" t="e">
        <f ca="1">Time!BO10+"VCW!7("</f>
        <v>#VALUE!</v>
      </c>
      <c r="FG6" t="e">
        <f ca="1">Time!BP10+"VCW!7)"</f>
        <v>#VALUE!</v>
      </c>
      <c r="FH6" t="e">
        <f ca="1">Time!BQ10+"VCW!7."</f>
        <v>#VALUE!</v>
      </c>
      <c r="FI6" t="e">
        <f ca="1">Time!BR10+"VCW!7/"</f>
        <v>#VALUE!</v>
      </c>
      <c r="FJ6" t="e">
        <f ca="1">Time!BS10+"VCW!70"</f>
        <v>#VALUE!</v>
      </c>
      <c r="FK6" t="e">
        <f ca="1">Time!BT10+"VCW!71"</f>
        <v>#VALUE!</v>
      </c>
      <c r="FL6" t="e">
        <f ca="1">Time!BU10+"VCW!72"</f>
        <v>#VALUE!</v>
      </c>
      <c r="FM6" t="e">
        <f ca="1">Time!BV10+"VCW!73"</f>
        <v>#VALUE!</v>
      </c>
      <c r="FN6" t="e">
        <f ca="1">Time!BW10+"VCW!74"</f>
        <v>#VALUE!</v>
      </c>
      <c r="FO6" t="e">
        <f ca="1">Time!BX10+"VCW!75"</f>
        <v>#VALUE!</v>
      </c>
      <c r="FP6" t="e">
        <f ca="1">Time!BY10+"VCW!76"</f>
        <v>#VALUE!</v>
      </c>
      <c r="FQ6" t="e">
        <f ca="1">Time!A11+"VCW!77"</f>
        <v>#VALUE!</v>
      </c>
      <c r="FR6" t="e">
        <f ca="1">Time!B11+"VCW!78"</f>
        <v>#VALUE!</v>
      </c>
      <c r="FS6" t="e">
        <f ca="1">Time!C11+"VCW!79"</f>
        <v>#VALUE!</v>
      </c>
      <c r="FT6" t="e">
        <f ca="1">Time!D11+"VCW!7:"</f>
        <v>#VALUE!</v>
      </c>
      <c r="FU6" t="e">
        <f ca="1">Time!A12+"VCW!7;"</f>
        <v>#VALUE!</v>
      </c>
      <c r="FV6" t="e">
        <f ca="1">Time!B12+"VCW!7&lt;"</f>
        <v>#VALUE!</v>
      </c>
      <c r="FW6" t="e">
        <f ca="1">Time!C12+"VCW!7="</f>
        <v>#VALUE!</v>
      </c>
      <c r="FX6" t="e">
        <f ca="1">Time!D12+"VCW!7&gt;"</f>
        <v>#VALUE!</v>
      </c>
      <c r="FY6" t="e">
        <f ca="1">Time!E12+"VCW!7?"</f>
        <v>#VALUE!</v>
      </c>
      <c r="FZ6" t="e">
        <f ca="1">Time!F12+"VCW!7@"</f>
        <v>#VALUE!</v>
      </c>
      <c r="GA6" t="e">
        <f ca="1">Time!G12+"VCW!7A"</f>
        <v>#VALUE!</v>
      </c>
      <c r="GB6" t="e">
        <f ca="1">Time!I12+"VCW!7B"</f>
        <v>#VALUE!</v>
      </c>
      <c r="GC6" t="e">
        <f ca="1">Time!E13+"VCW!7C"</f>
        <v>#VALUE!</v>
      </c>
      <c r="GD6" t="e">
        <f ca="1">Time!F13+"VCW!7D"</f>
        <v>#VALUE!</v>
      </c>
      <c r="GE6" t="e">
        <f ca="1">Time!G13+"VCW!7E"</f>
        <v>#VALUE!</v>
      </c>
      <c r="GF6" t="e">
        <f ca="1">Time!A14+"VCW!7F"</f>
        <v>#VALUE!</v>
      </c>
      <c r="GG6" t="e">
        <f ca="1">Time!B14+"VCW!7G"</f>
        <v>#VALUE!</v>
      </c>
      <c r="GH6" t="e">
        <f ca="1">Time!C14+"VCW!7H"</f>
        <v>#VALUE!</v>
      </c>
      <c r="GI6" t="e">
        <f ca="1">Time!D14+"VCW!7I"</f>
        <v>#VALUE!</v>
      </c>
      <c r="GJ6" t="e">
        <f ca="1">Time!E14+"VCW!7J"</f>
        <v>#VALUE!</v>
      </c>
      <c r="GK6" t="e">
        <f ca="1">Time!F14+"VCW!7K"</f>
        <v>#VALUE!</v>
      </c>
      <c r="GL6" t="e">
        <f ca="1">Time!G14+"VCW!7L"</f>
        <v>#VALUE!</v>
      </c>
      <c r="GM6" t="e">
        <f ca="1">Time!H14+"VCW!7M"</f>
        <v>#VALUE!</v>
      </c>
      <c r="GN6" t="e">
        <f ca="1">Time!I14+"VCW!7N"</f>
        <v>#VALUE!</v>
      </c>
      <c r="GO6" t="e">
        <f ca="1">Time!J14+"VCW!7O"</f>
        <v>#VALUE!</v>
      </c>
      <c r="GP6" t="e">
        <f ca="1">Time!K14+"VCW!7P"</f>
        <v>#VALUE!</v>
      </c>
      <c r="GQ6" t="e">
        <f ca="1">Time!L14+"VCW!7Q"</f>
        <v>#VALUE!</v>
      </c>
      <c r="GR6" t="e">
        <f ca="1">Time!M14+"VCW!7R"</f>
        <v>#VALUE!</v>
      </c>
      <c r="GS6" t="e">
        <f ca="1">Time!N14+"VCW!7S"</f>
        <v>#VALUE!</v>
      </c>
      <c r="GT6" t="e">
        <f ca="1">Time!O14+"VCW!7T"</f>
        <v>#VALUE!</v>
      </c>
      <c r="GU6" t="e">
        <f ca="1">Time!P14+"VCW!7U"</f>
        <v>#VALUE!</v>
      </c>
      <c r="GV6" t="e">
        <f ca="1">Time!Q14+"VCW!7V"</f>
        <v>#VALUE!</v>
      </c>
      <c r="GW6" t="e">
        <f ca="1">Time!R14+"VCW!7W"</f>
        <v>#VALUE!</v>
      </c>
      <c r="GX6" t="e">
        <f ca="1">Time!S14+"VCW!7X"</f>
        <v>#VALUE!</v>
      </c>
      <c r="GY6" t="e">
        <f ca="1">Time!T14+"VCW!7Y"</f>
        <v>#VALUE!</v>
      </c>
      <c r="GZ6" t="e">
        <f ca="1">Time!U14+"VCW!7Z"</f>
        <v>#VALUE!</v>
      </c>
      <c r="HA6" t="e">
        <f ca="1">Time!V14+"VCW!7["</f>
        <v>#VALUE!</v>
      </c>
      <c r="HB6" t="e">
        <f ca="1">Time!W14+"VCW!7\"</f>
        <v>#VALUE!</v>
      </c>
      <c r="HC6" t="e">
        <f ca="1">Time!X14+"VCW!7]"</f>
        <v>#VALUE!</v>
      </c>
      <c r="HD6" t="e">
        <f ca="1">Time!Y14+"VCW!7^"</f>
        <v>#VALUE!</v>
      </c>
      <c r="HE6" t="e">
        <f ca="1">Time!Z14+"VCW!7_"</f>
        <v>#VALUE!</v>
      </c>
      <c r="HF6" t="e">
        <f ca="1">Time!AA14+"VCW!7`"</f>
        <v>#VALUE!</v>
      </c>
      <c r="HG6" t="e">
        <f ca="1">Time!AB14+"VCW!7a"</f>
        <v>#VALUE!</v>
      </c>
      <c r="HH6" t="e">
        <f ca="1">Time!AC14+"VCW!7b"</f>
        <v>#VALUE!</v>
      </c>
      <c r="HI6" t="e">
        <f ca="1">Time!AD14+"VCW!7c"</f>
        <v>#VALUE!</v>
      </c>
      <c r="HJ6" t="e">
        <f ca="1">Time!AE14+"VCW!7d"</f>
        <v>#VALUE!</v>
      </c>
      <c r="HK6" t="e">
        <f ca="1">Time!AF14+"VCW!7e"</f>
        <v>#VALUE!</v>
      </c>
      <c r="HL6" t="e">
        <f ca="1">Time!AG14+"VCW!7f"</f>
        <v>#VALUE!</v>
      </c>
      <c r="HM6" t="e">
        <f ca="1">Time!AH14+"VCW!7g"</f>
        <v>#VALUE!</v>
      </c>
      <c r="HN6" t="e">
        <f ca="1">Time!AI14+"VCW!7h"</f>
        <v>#VALUE!</v>
      </c>
      <c r="HO6" t="e">
        <f ca="1">Time!AJ14+"VCW!7i"</f>
        <v>#VALUE!</v>
      </c>
      <c r="HP6" t="e">
        <f ca="1">Time!AK14+"VCW!7j"</f>
        <v>#VALUE!</v>
      </c>
      <c r="HQ6" t="e">
        <f ca="1">Time!AL14+"VCW!7k"</f>
        <v>#VALUE!</v>
      </c>
      <c r="HR6" t="e">
        <f ca="1">Time!AM14+"VCW!7l"</f>
        <v>#VALUE!</v>
      </c>
      <c r="HS6" t="e">
        <f ca="1">Time!AN14+"VCW!7m"</f>
        <v>#VALUE!</v>
      </c>
      <c r="HT6" t="e">
        <f ca="1">Time!AO14+"VCW!7n"</f>
        <v>#VALUE!</v>
      </c>
      <c r="HU6" t="e">
        <f ca="1">Time!AP14+"VCW!7o"</f>
        <v>#VALUE!</v>
      </c>
      <c r="HV6" t="e">
        <f ca="1">Time!AQ14+"VCW!7p"</f>
        <v>#VALUE!</v>
      </c>
      <c r="HW6" t="e">
        <f ca="1">Time!AR14+"VCW!7q"</f>
        <v>#VALUE!</v>
      </c>
      <c r="HX6" t="e">
        <f ca="1">Time!AS14+"VCW!7r"</f>
        <v>#VALUE!</v>
      </c>
      <c r="HY6" t="e">
        <f ca="1">Time!AT14+"VCW!7s"</f>
        <v>#VALUE!</v>
      </c>
      <c r="HZ6" t="e">
        <f ca="1">Time!AU14+"VCW!7t"</f>
        <v>#VALUE!</v>
      </c>
      <c r="IA6" t="e">
        <f ca="1">Time!AV14+"VCW!7u"</f>
        <v>#VALUE!</v>
      </c>
      <c r="IB6" t="e">
        <f ca="1">Time!AW14+"VCW!7v"</f>
        <v>#VALUE!</v>
      </c>
      <c r="IC6" t="e">
        <f ca="1">Time!AX14+"VCW!7w"</f>
        <v>#VALUE!</v>
      </c>
      <c r="ID6" t="e">
        <f ca="1">Time!AY14+"VCW!7x"</f>
        <v>#VALUE!</v>
      </c>
      <c r="IE6" t="e">
        <f ca="1">Time!AZ14+"VCW!7y"</f>
        <v>#VALUE!</v>
      </c>
      <c r="IF6" t="e">
        <f ca="1">Time!BA14+"VCW!7z"</f>
        <v>#VALUE!</v>
      </c>
      <c r="IG6" t="e">
        <f ca="1">Time!BB14+"VCW!7{"</f>
        <v>#VALUE!</v>
      </c>
      <c r="IH6" t="e">
        <f ca="1">Time!BC14+"VCW!7|"</f>
        <v>#VALUE!</v>
      </c>
      <c r="II6" t="e">
        <f ca="1">Time!BD14+"VCW!7}"</f>
        <v>#VALUE!</v>
      </c>
      <c r="IJ6" t="e">
        <f ca="1">Time!BE14+"VCW!7~"</f>
        <v>#VALUE!</v>
      </c>
      <c r="IK6" t="e">
        <f ca="1">Time!BF14+"VCW!8#"</f>
        <v>#VALUE!</v>
      </c>
      <c r="IL6" t="e">
        <f ca="1">Time!BG14+"VCW!8$"</f>
        <v>#VALUE!</v>
      </c>
      <c r="IM6" t="e">
        <f ca="1">Time!BH14+"VCW!8%"</f>
        <v>#VALUE!</v>
      </c>
      <c r="IN6" t="e">
        <f ca="1">Time!BI14+"VCW!8&amp;"</f>
        <v>#VALUE!</v>
      </c>
      <c r="IO6" t="e">
        <f ca="1">Time!BJ14+"VCW!8'"</f>
        <v>#VALUE!</v>
      </c>
      <c r="IP6" t="e">
        <f ca="1">Time!BK14+"VCW!8("</f>
        <v>#VALUE!</v>
      </c>
      <c r="IQ6" t="e">
        <f ca="1">Time!BL14+"VCW!8)"</f>
        <v>#VALUE!</v>
      </c>
      <c r="IR6" t="e">
        <f ca="1">Time!BM14+"VCW!8."</f>
        <v>#VALUE!</v>
      </c>
      <c r="IS6" t="e">
        <f ca="1">Time!BN14+"VCW!8/"</f>
        <v>#VALUE!</v>
      </c>
      <c r="IT6" t="e">
        <f ca="1">Time!BO14+"VCW!80"</f>
        <v>#VALUE!</v>
      </c>
      <c r="IU6" t="e">
        <f ca="1">Time!BP14+"VCW!81"</f>
        <v>#VALUE!</v>
      </c>
      <c r="IV6" t="e">
        <f ca="1">Time!BQ14+"VCW!82"</f>
        <v>#VALUE!</v>
      </c>
    </row>
    <row r="7" spans="1:256" x14ac:dyDescent="0.2">
      <c r="F7" t="e">
        <f ca="1">Time!BR14+"VCW!83"</f>
        <v>#VALUE!</v>
      </c>
      <c r="G7" t="e">
        <f ca="1">Time!BS14+"VCW!84"</f>
        <v>#VALUE!</v>
      </c>
      <c r="H7" t="e">
        <f ca="1">Time!BT14+"VCW!85"</f>
        <v>#VALUE!</v>
      </c>
      <c r="I7" t="e">
        <f ca="1">Time!BU14+"VCW!86"</f>
        <v>#VALUE!</v>
      </c>
      <c r="J7" t="e">
        <f ca="1">Time!BV14+"VCW!87"</f>
        <v>#VALUE!</v>
      </c>
      <c r="K7" t="e">
        <f ca="1">Time!BW14+"VCW!88"</f>
        <v>#VALUE!</v>
      </c>
      <c r="L7" t="e">
        <f ca="1">Time!BX14+"VCW!89"</f>
        <v>#VALUE!</v>
      </c>
      <c r="M7" t="e">
        <f ca="1">Time!BY14+"VCW!8:"</f>
        <v>#VALUE!</v>
      </c>
      <c r="N7" t="e">
        <f ca="1">Time!A15+"VCW!8;"</f>
        <v>#VALUE!</v>
      </c>
      <c r="O7" t="e">
        <f ca="1">Time!B15+"VCW!8&lt;"</f>
        <v>#VALUE!</v>
      </c>
      <c r="P7" t="e">
        <f ca="1">Time!C15+"VCW!8="</f>
        <v>#VALUE!</v>
      </c>
      <c r="Q7" t="e">
        <f ca="1">Time!D15+"VCW!8&gt;"</f>
        <v>#VALUE!</v>
      </c>
      <c r="R7" t="e">
        <f ca="1">Time!E15+"VCW!8?"</f>
        <v>#VALUE!</v>
      </c>
      <c r="S7" t="e">
        <f ca="1">Time!G15+"VCW!8@"</f>
        <v>#VALUE!</v>
      </c>
      <c r="T7" t="e">
        <f ca="1">Time!I15+"VCW!8A"</f>
        <v>#VALUE!</v>
      </c>
      <c r="U7" t="e">
        <f ca="1">Time!J15+"VCW!8B"</f>
        <v>#VALUE!</v>
      </c>
      <c r="V7" t="e">
        <f ca="1">Time!K15+"VCW!8C"</f>
        <v>#VALUE!</v>
      </c>
      <c r="W7" t="e">
        <f ca="1">Time!L15+"VCW!8D"</f>
        <v>#VALUE!</v>
      </c>
      <c r="X7" t="e">
        <f ca="1">Time!M15+"VCW!8E"</f>
        <v>#VALUE!</v>
      </c>
      <c r="Y7" t="e">
        <f ca="1">Time!N15+"VCW!8F"</f>
        <v>#VALUE!</v>
      </c>
      <c r="Z7" t="e">
        <f ca="1">Time!O15+"VCW!8G"</f>
        <v>#VALUE!</v>
      </c>
      <c r="AA7" t="e">
        <f ca="1">Time!P15+"VCW!8H"</f>
        <v>#VALUE!</v>
      </c>
      <c r="AB7" t="e">
        <f ca="1">Time!Q15+"VCW!8I"</f>
        <v>#VALUE!</v>
      </c>
      <c r="AC7" t="e">
        <f ca="1">Time!R15+"VCW!8J"</f>
        <v>#VALUE!</v>
      </c>
      <c r="AD7" t="e">
        <f ca="1">Time!S15+"VCW!8K"</f>
        <v>#VALUE!</v>
      </c>
      <c r="AE7" t="e">
        <f ca="1">Time!T15+"VCW!8L"</f>
        <v>#VALUE!</v>
      </c>
      <c r="AF7" t="e">
        <f ca="1">Time!U15+"VCW!8M"</f>
        <v>#VALUE!</v>
      </c>
      <c r="AG7" t="e">
        <f ca="1">Time!V15+"VCW!8N"</f>
        <v>#VALUE!</v>
      </c>
      <c r="AH7" t="e">
        <f ca="1">Time!W15+"VCW!8O"</f>
        <v>#VALUE!</v>
      </c>
      <c r="AI7" t="e">
        <f ca="1">Time!X15+"VCW!8P"</f>
        <v>#VALUE!</v>
      </c>
      <c r="AJ7" t="e">
        <f ca="1">Time!Y15+"VCW!8Q"</f>
        <v>#VALUE!</v>
      </c>
      <c r="AK7" t="e">
        <f ca="1">Time!Z15+"VCW!8R"</f>
        <v>#VALUE!</v>
      </c>
      <c r="AL7" t="e">
        <f ca="1">Time!AA15+"VCW!8S"</f>
        <v>#VALUE!</v>
      </c>
      <c r="AM7" t="e">
        <f ca="1">Time!AB15+"VCW!8T"</f>
        <v>#VALUE!</v>
      </c>
      <c r="AN7" t="e">
        <f ca="1">Time!AC15+"VCW!8U"</f>
        <v>#VALUE!</v>
      </c>
      <c r="AO7" t="e">
        <f ca="1">Time!AD15+"VCW!8V"</f>
        <v>#VALUE!</v>
      </c>
      <c r="AP7" t="e">
        <f ca="1">Time!AE15+"VCW!8W"</f>
        <v>#VALUE!</v>
      </c>
      <c r="AQ7" t="e">
        <f ca="1">Time!AF15+"VCW!8X"</f>
        <v>#VALUE!</v>
      </c>
      <c r="AR7" t="e">
        <f ca="1">Time!AG15+"VCW!8Y"</f>
        <v>#VALUE!</v>
      </c>
      <c r="AS7" t="e">
        <f ca="1">Time!AH15+"VCW!8Z"</f>
        <v>#VALUE!</v>
      </c>
      <c r="AT7" t="e">
        <f ca="1">Time!AI15+"VCW!8["</f>
        <v>#VALUE!</v>
      </c>
      <c r="AU7" t="e">
        <f ca="1">Time!AJ15+"VCW!8\"</f>
        <v>#VALUE!</v>
      </c>
      <c r="AV7" t="e">
        <f ca="1">Time!AK15+"VCW!8]"</f>
        <v>#VALUE!</v>
      </c>
      <c r="AW7" t="e">
        <f ca="1">Time!AL15+"VCW!8^"</f>
        <v>#VALUE!</v>
      </c>
      <c r="AX7" t="e">
        <f ca="1">Time!AM15+"VCW!8_"</f>
        <v>#VALUE!</v>
      </c>
      <c r="AY7" t="e">
        <f ca="1">Time!AN15+"VCW!8`"</f>
        <v>#VALUE!</v>
      </c>
      <c r="AZ7" t="e">
        <f ca="1">Time!AO15+"VCW!8a"</f>
        <v>#VALUE!</v>
      </c>
      <c r="BA7" t="e">
        <f ca="1">Time!AP15+"VCW!8b"</f>
        <v>#VALUE!</v>
      </c>
      <c r="BB7" t="e">
        <f ca="1">Time!AQ15+"VCW!8c"</f>
        <v>#VALUE!</v>
      </c>
      <c r="BC7" t="e">
        <f ca="1">Time!AR15+"VCW!8d"</f>
        <v>#VALUE!</v>
      </c>
      <c r="BD7" t="e">
        <f ca="1">Time!AS15+"VCW!8e"</f>
        <v>#VALUE!</v>
      </c>
      <c r="BE7" t="e">
        <f ca="1">Time!AT15+"VCW!8f"</f>
        <v>#VALUE!</v>
      </c>
      <c r="BF7" t="e">
        <f ca="1">Time!AU15+"VCW!8g"</f>
        <v>#VALUE!</v>
      </c>
      <c r="BG7" t="e">
        <f ca="1">Time!AV15+"VCW!8h"</f>
        <v>#VALUE!</v>
      </c>
      <c r="BH7" t="e">
        <f ca="1">Time!AW15+"VCW!8i"</f>
        <v>#VALUE!</v>
      </c>
      <c r="BI7" t="e">
        <f ca="1">Time!AX15+"VCW!8j"</f>
        <v>#VALUE!</v>
      </c>
      <c r="BJ7" t="e">
        <f ca="1">Time!AY15+"VCW!8k"</f>
        <v>#VALUE!</v>
      </c>
      <c r="BK7" t="e">
        <f ca="1">Time!AZ15+"VCW!8l"</f>
        <v>#VALUE!</v>
      </c>
      <c r="BL7" t="e">
        <f ca="1">Time!BA15+"VCW!8m"</f>
        <v>#VALUE!</v>
      </c>
      <c r="BM7" t="e">
        <f ca="1">Time!BB15+"VCW!8n"</f>
        <v>#VALUE!</v>
      </c>
      <c r="BN7" t="e">
        <f ca="1">Time!BC15+"VCW!8o"</f>
        <v>#VALUE!</v>
      </c>
      <c r="BO7" t="e">
        <f ca="1">Time!BD15+"VCW!8p"</f>
        <v>#VALUE!</v>
      </c>
      <c r="BP7" t="e">
        <f ca="1">Time!BE15+"VCW!8q"</f>
        <v>#VALUE!</v>
      </c>
      <c r="BQ7" t="e">
        <f ca="1">Time!BF15+"VCW!8r"</f>
        <v>#VALUE!</v>
      </c>
      <c r="BR7" t="e">
        <f ca="1">Time!BG15+"VCW!8s"</f>
        <v>#VALUE!</v>
      </c>
      <c r="BS7" t="e">
        <f ca="1">Time!BH15+"VCW!8t"</f>
        <v>#VALUE!</v>
      </c>
      <c r="BT7" t="e">
        <f ca="1">Time!BI15+"VCW!8u"</f>
        <v>#VALUE!</v>
      </c>
      <c r="BU7" t="e">
        <f ca="1">Time!BJ15+"VCW!8v"</f>
        <v>#VALUE!</v>
      </c>
      <c r="BV7" t="e">
        <f ca="1">Time!BK15+"VCW!8w"</f>
        <v>#VALUE!</v>
      </c>
      <c r="BW7" t="e">
        <f ca="1">Time!BL15+"VCW!8x"</f>
        <v>#VALUE!</v>
      </c>
      <c r="BX7" t="e">
        <f ca="1">Time!BM15+"VCW!8y"</f>
        <v>#VALUE!</v>
      </c>
      <c r="BY7" t="e">
        <f ca="1">Time!BN15+"VCW!8z"</f>
        <v>#VALUE!</v>
      </c>
      <c r="BZ7" t="e">
        <f ca="1">Time!BO15+"VCW!8{"</f>
        <v>#VALUE!</v>
      </c>
      <c r="CA7" t="e">
        <f ca="1">Time!BP15+"VCW!8|"</f>
        <v>#VALUE!</v>
      </c>
      <c r="CB7" t="e">
        <f ca="1">Time!BQ15+"VCW!8}"</f>
        <v>#VALUE!</v>
      </c>
      <c r="CC7" t="e">
        <f ca="1">Time!BR15+"VCW!8~"</f>
        <v>#VALUE!</v>
      </c>
      <c r="CD7" t="e">
        <f ca="1">Time!BS15+"VCW!9#"</f>
        <v>#VALUE!</v>
      </c>
      <c r="CE7" t="e">
        <f ca="1">Time!BT15+"VCW!9$"</f>
        <v>#VALUE!</v>
      </c>
      <c r="CF7" t="e">
        <f ca="1">Time!BU15+"VCW!9%"</f>
        <v>#VALUE!</v>
      </c>
      <c r="CG7" t="e">
        <f ca="1">Time!BV15+"VCW!9&amp;"</f>
        <v>#VALUE!</v>
      </c>
      <c r="CH7" t="e">
        <f ca="1">Time!BW15+"VCW!9'"</f>
        <v>#VALUE!</v>
      </c>
      <c r="CI7" t="e">
        <f ca="1">Time!BX15+"VCW!9("</f>
        <v>#VALUE!</v>
      </c>
      <c r="CJ7" t="e">
        <f ca="1">Time!BY15+"VCW!9)"</f>
        <v>#VALUE!</v>
      </c>
      <c r="CK7" t="e">
        <f ca="1">Time!A16+"VCW!9."</f>
        <v>#VALUE!</v>
      </c>
      <c r="CL7" t="e">
        <f ca="1">Time!B16+"VCW!9/"</f>
        <v>#VALUE!</v>
      </c>
      <c r="CM7" t="e">
        <f ca="1">Time!C16+"VCW!90"</f>
        <v>#VALUE!</v>
      </c>
      <c r="CN7" t="e">
        <f ca="1">Time!A17+"VCW!91"</f>
        <v>#VALUE!</v>
      </c>
      <c r="CO7" t="e">
        <f ca="1">Time!B17+"VCW!92"</f>
        <v>#VALUE!</v>
      </c>
      <c r="CP7" t="e">
        <f ca="1">Time!C17+"VCW!93"</f>
        <v>#VALUE!</v>
      </c>
      <c r="CQ7" t="e">
        <f ca="1">Time!D17+"VCW!94"</f>
        <v>#VALUE!</v>
      </c>
      <c r="CR7" t="e">
        <f ca="1">Time!E17+"VCW!95"</f>
        <v>#VALUE!</v>
      </c>
      <c r="CS7" t="e">
        <f ca="1">Time!F17+"VCW!96"</f>
        <v>#VALUE!</v>
      </c>
      <c r="CT7" t="e">
        <f ca="1">Time!G17+"VCW!97"</f>
        <v>#VALUE!</v>
      </c>
      <c r="CU7" t="e">
        <f ca="1">Time!A18+"VCW!98"</f>
        <v>#VALUE!</v>
      </c>
      <c r="CV7" t="e">
        <f ca="1">Time!B18+"VCW!99"</f>
        <v>#VALUE!</v>
      </c>
      <c r="CW7" t="e">
        <f ca="1">Time!C18+"VCW!9:"</f>
        <v>#VALUE!</v>
      </c>
      <c r="CX7" t="e">
        <f ca="1">Time!D18+"VCW!9;"</f>
        <v>#VALUE!</v>
      </c>
      <c r="CY7" t="e">
        <f ca="1">Time!E18+"VCW!9&lt;"</f>
        <v>#VALUE!</v>
      </c>
      <c r="CZ7" t="e">
        <f ca="1">Time!F18+"VCW!9="</f>
        <v>#VALUE!</v>
      </c>
      <c r="DA7" t="e">
        <f ca="1">Time!G18+"VCW!9&gt;"</f>
        <v>#VALUE!</v>
      </c>
      <c r="DB7" t="e">
        <f ca="1">Time!H18+"VCW!9?"</f>
        <v>#VALUE!</v>
      </c>
      <c r="DC7" t="e">
        <f ca="1">Time!I18+"VCW!9@"</f>
        <v>#VALUE!</v>
      </c>
      <c r="DD7" t="e">
        <f ca="1">Time!J18+"VCW!9A"</f>
        <v>#VALUE!</v>
      </c>
      <c r="DE7" t="e">
        <f ca="1">Time!K18+"VCW!9B"</f>
        <v>#VALUE!</v>
      </c>
      <c r="DF7" t="e">
        <f ca="1">Time!L18+"VCW!9C"</f>
        <v>#VALUE!</v>
      </c>
      <c r="DG7" t="e">
        <f ca="1">Time!M18+"VCW!9D"</f>
        <v>#VALUE!</v>
      </c>
      <c r="DH7" t="e">
        <f ca="1">Time!N18+"VCW!9E"</f>
        <v>#VALUE!</v>
      </c>
      <c r="DI7" t="e">
        <f ca="1">Time!O18+"VCW!9F"</f>
        <v>#VALUE!</v>
      </c>
      <c r="DJ7" t="e">
        <f ca="1">Time!P18+"VCW!9G"</f>
        <v>#VALUE!</v>
      </c>
      <c r="DK7" t="e">
        <f ca="1">Time!Q18+"VCW!9H"</f>
        <v>#VALUE!</v>
      </c>
      <c r="DL7" t="e">
        <f ca="1">Time!R18+"VCW!9I"</f>
        <v>#VALUE!</v>
      </c>
      <c r="DM7" t="e">
        <f ca="1">Time!S18+"VCW!9J"</f>
        <v>#VALUE!</v>
      </c>
      <c r="DN7" t="e">
        <f ca="1">Time!T18+"VCW!9K"</f>
        <v>#VALUE!</v>
      </c>
      <c r="DO7" t="e">
        <f ca="1">Time!U18+"VCW!9L"</f>
        <v>#VALUE!</v>
      </c>
      <c r="DP7" t="e">
        <f ca="1">Time!V18+"VCW!9M"</f>
        <v>#VALUE!</v>
      </c>
      <c r="DQ7" t="e">
        <f ca="1">Time!W18+"VCW!9N"</f>
        <v>#VALUE!</v>
      </c>
      <c r="DR7" t="e">
        <f ca="1">Time!X18+"VCW!9O"</f>
        <v>#VALUE!</v>
      </c>
      <c r="DS7" t="e">
        <f ca="1">Time!Y18+"VCW!9P"</f>
        <v>#VALUE!</v>
      </c>
      <c r="DT7" t="e">
        <f ca="1">Time!Z18+"VCW!9Q"</f>
        <v>#VALUE!</v>
      </c>
      <c r="DU7" t="e">
        <f ca="1">Time!AA18+"VCW!9R"</f>
        <v>#VALUE!</v>
      </c>
      <c r="DV7" t="e">
        <f ca="1">Time!AB18+"VCW!9S"</f>
        <v>#VALUE!</v>
      </c>
      <c r="DW7" t="e">
        <f ca="1">Time!AC18+"VCW!9T"</f>
        <v>#VALUE!</v>
      </c>
      <c r="DX7" t="e">
        <f ca="1">Time!AD18+"VCW!9U"</f>
        <v>#VALUE!</v>
      </c>
      <c r="DY7" t="e">
        <f ca="1">Time!AE18+"VCW!9V"</f>
        <v>#VALUE!</v>
      </c>
      <c r="DZ7" t="e">
        <f ca="1">Time!AF18+"VCW!9W"</f>
        <v>#VALUE!</v>
      </c>
      <c r="EA7" t="e">
        <f ca="1">Time!AG18+"VCW!9X"</f>
        <v>#VALUE!</v>
      </c>
      <c r="EB7" t="e">
        <f ca="1">Time!AH18+"VCW!9Y"</f>
        <v>#VALUE!</v>
      </c>
      <c r="EC7" t="e">
        <f ca="1">Time!AI18+"VCW!9Z"</f>
        <v>#VALUE!</v>
      </c>
      <c r="ED7" t="e">
        <f ca="1">Time!AJ18+"VCW!9["</f>
        <v>#VALUE!</v>
      </c>
      <c r="EE7" t="e">
        <f ca="1">Time!AK18+"VCW!9\"</f>
        <v>#VALUE!</v>
      </c>
      <c r="EF7" t="e">
        <f ca="1">Time!AL18+"VCW!9]"</f>
        <v>#VALUE!</v>
      </c>
      <c r="EG7" t="e">
        <f ca="1">Time!AM18+"VCW!9^"</f>
        <v>#VALUE!</v>
      </c>
      <c r="EH7" t="e">
        <f ca="1">Time!AN18+"VCW!9_"</f>
        <v>#VALUE!</v>
      </c>
      <c r="EI7" t="e">
        <f ca="1">Time!AO18+"VCW!9`"</f>
        <v>#VALUE!</v>
      </c>
      <c r="EJ7" t="e">
        <f ca="1">Time!AP18+"VCW!9a"</f>
        <v>#VALUE!</v>
      </c>
      <c r="EK7" t="e">
        <f ca="1">Time!AQ18+"VCW!9b"</f>
        <v>#VALUE!</v>
      </c>
      <c r="EL7" t="e">
        <f ca="1">Time!AR18+"VCW!9c"</f>
        <v>#VALUE!</v>
      </c>
      <c r="EM7" t="e">
        <f ca="1">Time!AS18+"VCW!9d"</f>
        <v>#VALUE!</v>
      </c>
      <c r="EN7" t="e">
        <f ca="1">Time!AT18+"VCW!9e"</f>
        <v>#VALUE!</v>
      </c>
      <c r="EO7" t="e">
        <f ca="1">Time!AU18+"VCW!9f"</f>
        <v>#VALUE!</v>
      </c>
      <c r="EP7" t="e">
        <f ca="1">Time!AV18+"VCW!9g"</f>
        <v>#VALUE!</v>
      </c>
      <c r="EQ7" t="e">
        <f ca="1">Time!AW18+"VCW!9h"</f>
        <v>#VALUE!</v>
      </c>
      <c r="ER7" t="e">
        <f ca="1">Time!AX18+"VCW!9i"</f>
        <v>#VALUE!</v>
      </c>
      <c r="ES7" t="e">
        <f ca="1">Time!AY18+"VCW!9j"</f>
        <v>#VALUE!</v>
      </c>
      <c r="ET7" t="e">
        <f ca="1">Time!AZ18+"VCW!9k"</f>
        <v>#VALUE!</v>
      </c>
      <c r="EU7" t="e">
        <f ca="1">Time!BA18+"VCW!9l"</f>
        <v>#VALUE!</v>
      </c>
      <c r="EV7" t="e">
        <f ca="1">Time!BB18+"VCW!9m"</f>
        <v>#VALUE!</v>
      </c>
      <c r="EW7" t="e">
        <f ca="1">Time!BC18+"VCW!9n"</f>
        <v>#VALUE!</v>
      </c>
      <c r="EX7" t="e">
        <f ca="1">Time!BD18+"VCW!9o"</f>
        <v>#VALUE!</v>
      </c>
      <c r="EY7" t="e">
        <f ca="1">Time!BE18+"VCW!9p"</f>
        <v>#VALUE!</v>
      </c>
      <c r="EZ7" t="e">
        <f ca="1">Time!BF18+"VCW!9q"</f>
        <v>#VALUE!</v>
      </c>
      <c r="FA7" t="e">
        <f ca="1">Time!BG18+"VCW!9r"</f>
        <v>#VALUE!</v>
      </c>
      <c r="FB7" t="e">
        <f ca="1">Time!BH18+"VCW!9s"</f>
        <v>#VALUE!</v>
      </c>
      <c r="FC7" t="e">
        <f ca="1">Time!BI18+"VCW!9t"</f>
        <v>#VALUE!</v>
      </c>
      <c r="FD7" t="e">
        <f ca="1">Time!BJ18+"VCW!9u"</f>
        <v>#VALUE!</v>
      </c>
      <c r="FE7" t="e">
        <f ca="1">Time!BK18+"VCW!9v"</f>
        <v>#VALUE!</v>
      </c>
      <c r="FF7" t="e">
        <f ca="1">Time!BL18+"VCW!9w"</f>
        <v>#VALUE!</v>
      </c>
      <c r="FG7" t="e">
        <f ca="1">Time!BM18+"VCW!9x"</f>
        <v>#VALUE!</v>
      </c>
      <c r="FH7" t="e">
        <f ca="1">Time!BN18+"VCW!9y"</f>
        <v>#VALUE!</v>
      </c>
      <c r="FI7" t="e">
        <f ca="1">Time!BO18+"VCW!9z"</f>
        <v>#VALUE!</v>
      </c>
      <c r="FJ7" t="e">
        <f ca="1">Time!BP18+"VCW!9{"</f>
        <v>#VALUE!</v>
      </c>
      <c r="FK7" t="e">
        <f ca="1">Time!BQ18+"VCW!9|"</f>
        <v>#VALUE!</v>
      </c>
      <c r="FL7" t="e">
        <f ca="1">Time!BR18+"VCW!9}"</f>
        <v>#VALUE!</v>
      </c>
      <c r="FM7" t="e">
        <f ca="1">Time!BS18+"VCW!9~"</f>
        <v>#VALUE!</v>
      </c>
      <c r="FN7" t="e">
        <f ca="1">Time!BT18+"VCW!:#"</f>
        <v>#VALUE!</v>
      </c>
      <c r="FO7" t="e">
        <f ca="1">Time!BU18+"VCW!:$"</f>
        <v>#VALUE!</v>
      </c>
      <c r="FP7" t="e">
        <f ca="1">Time!BV18+"VCW!:%"</f>
        <v>#VALUE!</v>
      </c>
      <c r="FQ7" t="e">
        <f ca="1">Time!BW18+"VCW!:&amp;"</f>
        <v>#VALUE!</v>
      </c>
      <c r="FR7" t="e">
        <f ca="1">Time!BX18+"VCW!:'"</f>
        <v>#VALUE!</v>
      </c>
      <c r="FS7" t="e">
        <f ca="1">Time!BY18+"VCW!:("</f>
        <v>#VALUE!</v>
      </c>
      <c r="FT7" t="e">
        <f ca="1">Time!A19+"VCW!:)"</f>
        <v>#VALUE!</v>
      </c>
      <c r="FU7" t="e">
        <f ca="1">Time!B19+"VCW!:."</f>
        <v>#VALUE!</v>
      </c>
      <c r="FV7" t="e">
        <f ca="1">Time!C19+"VCW!:/"</f>
        <v>#VALUE!</v>
      </c>
      <c r="FW7" t="e">
        <f ca="1">Time!D19+"VCW!:0"</f>
        <v>#VALUE!</v>
      </c>
      <c r="FX7" t="e">
        <f ca="1">Time!E19+"VCW!:1"</f>
        <v>#VALUE!</v>
      </c>
      <c r="FY7" t="e">
        <f ca="1">Time!G19+"VCW!:2"</f>
        <v>#VALUE!</v>
      </c>
      <c r="FZ7" t="e">
        <f ca="1">Time!J19+"VCW!:3"</f>
        <v>#VALUE!</v>
      </c>
      <c r="GA7" t="e">
        <f ca="1">Time!K19+"VCW!:4"</f>
        <v>#VALUE!</v>
      </c>
      <c r="GB7" t="e">
        <f ca="1">Time!L19+"VCW!:5"</f>
        <v>#VALUE!</v>
      </c>
      <c r="GC7" t="e">
        <f ca="1">Time!M19+"VCW!:6"</f>
        <v>#VALUE!</v>
      </c>
      <c r="GD7" t="e">
        <f ca="1">Time!N19+"VCW!:7"</f>
        <v>#VALUE!</v>
      </c>
      <c r="GE7" t="e">
        <f ca="1">Time!O19+"VCW!:8"</f>
        <v>#VALUE!</v>
      </c>
      <c r="GF7" t="e">
        <f ca="1">Time!P19+"VCW!:9"</f>
        <v>#VALUE!</v>
      </c>
      <c r="GG7" t="e">
        <f ca="1">Time!Q19+"VCW!::"</f>
        <v>#VALUE!</v>
      </c>
      <c r="GH7" t="e">
        <f ca="1">Time!R19+"VCW!:;"</f>
        <v>#VALUE!</v>
      </c>
      <c r="GI7" t="e">
        <f ca="1">Time!S19+"VCW!:&lt;"</f>
        <v>#VALUE!</v>
      </c>
      <c r="GJ7" t="e">
        <f ca="1">Time!T19+"VCW!:="</f>
        <v>#VALUE!</v>
      </c>
      <c r="GK7" t="e">
        <f ca="1">Time!U19+"VCW!:&gt;"</f>
        <v>#VALUE!</v>
      </c>
      <c r="GL7" t="e">
        <f ca="1">Time!V19+"VCW!:?"</f>
        <v>#VALUE!</v>
      </c>
      <c r="GM7" t="e">
        <f ca="1">Time!W19+"VCW!:@"</f>
        <v>#VALUE!</v>
      </c>
      <c r="GN7" t="e">
        <f ca="1">Time!X19+"VCW!:A"</f>
        <v>#VALUE!</v>
      </c>
      <c r="GO7" t="e">
        <f ca="1">Time!Y19+"VCW!:B"</f>
        <v>#VALUE!</v>
      </c>
      <c r="GP7" t="e">
        <f ca="1">Time!Z19+"VCW!:C"</f>
        <v>#VALUE!</v>
      </c>
      <c r="GQ7" t="e">
        <f ca="1">Time!AA19+"VCW!:D"</f>
        <v>#VALUE!</v>
      </c>
      <c r="GR7" t="e">
        <f ca="1">Time!AB19+"VCW!:E"</f>
        <v>#VALUE!</v>
      </c>
      <c r="GS7" t="e">
        <f ca="1">Time!AC19+"VCW!:F"</f>
        <v>#VALUE!</v>
      </c>
      <c r="GT7" t="e">
        <f ca="1">Time!AD19+"VCW!:G"</f>
        <v>#VALUE!</v>
      </c>
      <c r="GU7" t="e">
        <f ca="1">Time!AE19+"VCW!:H"</f>
        <v>#VALUE!</v>
      </c>
      <c r="GV7" t="e">
        <f ca="1">Time!AF19+"VCW!:I"</f>
        <v>#VALUE!</v>
      </c>
      <c r="GW7" t="e">
        <f ca="1">Time!AG19+"VCW!:J"</f>
        <v>#VALUE!</v>
      </c>
      <c r="GX7" t="e">
        <f ca="1">Time!AH19+"VCW!:K"</f>
        <v>#VALUE!</v>
      </c>
      <c r="GY7" t="e">
        <f ca="1">Time!AI19+"VCW!:L"</f>
        <v>#VALUE!</v>
      </c>
      <c r="GZ7" t="e">
        <f ca="1">Time!AJ19+"VCW!:M"</f>
        <v>#VALUE!</v>
      </c>
      <c r="HA7" t="e">
        <f ca="1">Time!AK19+"VCW!:N"</f>
        <v>#VALUE!</v>
      </c>
      <c r="HB7" t="e">
        <f ca="1">Time!AL19+"VCW!:O"</f>
        <v>#VALUE!</v>
      </c>
      <c r="HC7" t="e">
        <f ca="1">Time!AM19+"VCW!:P"</f>
        <v>#VALUE!</v>
      </c>
      <c r="HD7" t="e">
        <f ca="1">Time!AN19+"VCW!:Q"</f>
        <v>#VALUE!</v>
      </c>
      <c r="HE7" t="e">
        <f ca="1">Time!AO19+"VCW!:R"</f>
        <v>#VALUE!</v>
      </c>
      <c r="HF7" t="e">
        <f ca="1">Time!AP19+"VCW!:S"</f>
        <v>#VALUE!</v>
      </c>
      <c r="HG7" t="e">
        <f ca="1">Time!AQ19+"VCW!:T"</f>
        <v>#VALUE!</v>
      </c>
      <c r="HH7" t="e">
        <f ca="1">Time!AR19+"VCW!:U"</f>
        <v>#VALUE!</v>
      </c>
      <c r="HI7" t="e">
        <f ca="1">Time!AS19+"VCW!:V"</f>
        <v>#VALUE!</v>
      </c>
      <c r="HJ7" t="e">
        <f ca="1">Time!AT19+"VCW!:W"</f>
        <v>#VALUE!</v>
      </c>
      <c r="HK7" t="e">
        <f ca="1">Time!AU19+"VCW!:X"</f>
        <v>#VALUE!</v>
      </c>
      <c r="HL7" t="e">
        <f ca="1">Time!AV19+"VCW!:Y"</f>
        <v>#VALUE!</v>
      </c>
      <c r="HM7" t="e">
        <f ca="1">Time!AW19+"VCW!:Z"</f>
        <v>#VALUE!</v>
      </c>
      <c r="HN7" t="e">
        <f ca="1">Time!AX19+"VCW!:["</f>
        <v>#VALUE!</v>
      </c>
      <c r="HO7" t="e">
        <f ca="1">Time!AY19+"VCW!:\"</f>
        <v>#VALUE!</v>
      </c>
      <c r="HP7" t="e">
        <f ca="1">Time!AZ19+"VCW!:]"</f>
        <v>#VALUE!</v>
      </c>
      <c r="HQ7" t="e">
        <f ca="1">Time!BA19+"VCW!:^"</f>
        <v>#VALUE!</v>
      </c>
      <c r="HR7" t="e">
        <f ca="1">Time!BB19+"VCW!:_"</f>
        <v>#VALUE!</v>
      </c>
      <c r="HS7" t="e">
        <f ca="1">Time!BC19+"VCW!:`"</f>
        <v>#VALUE!</v>
      </c>
      <c r="HT7" t="e">
        <f ca="1">Time!BD19+"VCW!:a"</f>
        <v>#VALUE!</v>
      </c>
      <c r="HU7" t="e">
        <f ca="1">Time!BE19+"VCW!:b"</f>
        <v>#VALUE!</v>
      </c>
      <c r="HV7" t="e">
        <f ca="1">Time!BF19+"VCW!:c"</f>
        <v>#VALUE!</v>
      </c>
      <c r="HW7" t="e">
        <f ca="1">Time!BG19+"VCW!:d"</f>
        <v>#VALUE!</v>
      </c>
      <c r="HX7" t="e">
        <f ca="1">Time!BH19+"VCW!:e"</f>
        <v>#VALUE!</v>
      </c>
      <c r="HY7" t="e">
        <f ca="1">Time!BI19+"VCW!:f"</f>
        <v>#VALUE!</v>
      </c>
      <c r="HZ7" t="e">
        <f ca="1">Time!BJ19+"VCW!:g"</f>
        <v>#VALUE!</v>
      </c>
      <c r="IA7" t="e">
        <f ca="1">Time!BK19+"VCW!:h"</f>
        <v>#VALUE!</v>
      </c>
      <c r="IB7" t="e">
        <f ca="1">Time!BL19+"VCW!:i"</f>
        <v>#VALUE!</v>
      </c>
      <c r="IC7" t="e">
        <f ca="1">Time!BM19+"VCW!:j"</f>
        <v>#VALUE!</v>
      </c>
      <c r="ID7" t="e">
        <f ca="1">Time!BN19+"VCW!:k"</f>
        <v>#VALUE!</v>
      </c>
      <c r="IE7" t="e">
        <f ca="1">Time!BO19+"VCW!:l"</f>
        <v>#VALUE!</v>
      </c>
      <c r="IF7" t="e">
        <f ca="1">Time!BP19+"VCW!:m"</f>
        <v>#VALUE!</v>
      </c>
      <c r="IG7" t="e">
        <f ca="1">Time!BQ19+"VCW!:n"</f>
        <v>#VALUE!</v>
      </c>
      <c r="IH7" t="e">
        <f ca="1">Time!BR19+"VCW!:o"</f>
        <v>#VALUE!</v>
      </c>
      <c r="II7" t="e">
        <f ca="1">Time!BS19+"VCW!:p"</f>
        <v>#VALUE!</v>
      </c>
      <c r="IJ7" t="e">
        <f ca="1">Time!BT19+"VCW!:q"</f>
        <v>#VALUE!</v>
      </c>
      <c r="IK7" t="e">
        <f ca="1">Time!BU19+"VCW!:r"</f>
        <v>#VALUE!</v>
      </c>
      <c r="IL7" t="e">
        <f ca="1">Time!BV19+"VCW!:s"</f>
        <v>#VALUE!</v>
      </c>
      <c r="IM7" t="e">
        <f ca="1">Time!BW19+"VCW!:t"</f>
        <v>#VALUE!</v>
      </c>
      <c r="IN7" t="e">
        <f ca="1">Time!BX19+"VCW!:u"</f>
        <v>#VALUE!</v>
      </c>
      <c r="IO7" t="e">
        <f ca="1">Time!BY19+"VCW!:v"</f>
        <v>#VALUE!</v>
      </c>
      <c r="IP7" t="e">
        <f ca="1">Time!A20+"VCW!:w"</f>
        <v>#VALUE!</v>
      </c>
      <c r="IQ7" t="e">
        <f ca="1">Time!B20+"VCW!:x"</f>
        <v>#VALUE!</v>
      </c>
      <c r="IR7" t="e">
        <f ca="1">Time!C20+"VCW!:y"</f>
        <v>#VALUE!</v>
      </c>
      <c r="IS7" t="e">
        <f ca="1">Time!E21+"VCW!:z"</f>
        <v>#VALUE!</v>
      </c>
      <c r="IT7" t="e">
        <f ca="1">Time!F21+"VCW!:{"</f>
        <v>#VALUE!</v>
      </c>
      <c r="IU7" t="e">
        <f ca="1">Time!G21+"VCW!:|"</f>
        <v>#VALUE!</v>
      </c>
      <c r="IV7" t="e">
        <f ca="1">Time!A22+"VCW!:}"</f>
        <v>#VALUE!</v>
      </c>
    </row>
    <row r="8" spans="1:256" x14ac:dyDescent="0.2">
      <c r="F8" t="e">
        <f ca="1">Time!B22+"VCW!:~"</f>
        <v>#VALUE!</v>
      </c>
      <c r="G8" t="e">
        <f ca="1">Time!C22+"VCW!;#"</f>
        <v>#VALUE!</v>
      </c>
      <c r="H8" t="e">
        <f ca="1">Time!E22+"VCW!;$"</f>
        <v>#VALUE!</v>
      </c>
      <c r="I8" t="e">
        <f ca="1">Time!F22+"VCW!;%"</f>
        <v>#VALUE!</v>
      </c>
      <c r="J8" t="e">
        <f ca="1">Time!G22+"VCW!;&amp;"</f>
        <v>#VALUE!</v>
      </c>
      <c r="K8" t="e">
        <f ca="1">Time!A23+"VCW!;'"</f>
        <v>#VALUE!</v>
      </c>
      <c r="L8" t="e">
        <f ca="1">Time!B23+"VCW!;("</f>
        <v>#VALUE!</v>
      </c>
      <c r="M8" t="e">
        <f ca="1">Time!C23+"VCW!;)"</f>
        <v>#VALUE!</v>
      </c>
      <c r="N8" t="e">
        <f ca="1">Time!D23+"VCW!;."</f>
        <v>#VALUE!</v>
      </c>
      <c r="O8" t="e">
        <f ca="1">Time!E23+"VCW!;/"</f>
        <v>#VALUE!</v>
      </c>
      <c r="P8" t="e">
        <f ca="1">Time!F23+"VCW!;0"</f>
        <v>#VALUE!</v>
      </c>
      <c r="Q8" t="e">
        <f ca="1">Time!G23+"VCW!;1"</f>
        <v>#VALUE!</v>
      </c>
      <c r="R8" t="e">
        <f ca="1">Time!H23+"VCW!;2"</f>
        <v>#VALUE!</v>
      </c>
      <c r="S8" t="e">
        <f ca="1">Time!I23+"VCW!;3"</f>
        <v>#VALUE!</v>
      </c>
      <c r="T8" t="e">
        <f ca="1">Time!J23+"VCW!;4"</f>
        <v>#VALUE!</v>
      </c>
      <c r="U8" t="e">
        <f ca="1">Time!K23+"VCW!;5"</f>
        <v>#VALUE!</v>
      </c>
      <c r="V8" t="e">
        <f ca="1">Time!L23+"VCW!;6"</f>
        <v>#VALUE!</v>
      </c>
      <c r="W8" t="e">
        <f ca="1">Time!M23+"VCW!;7"</f>
        <v>#VALUE!</v>
      </c>
      <c r="X8" t="e">
        <f ca="1">Time!N23+"VCW!;8"</f>
        <v>#VALUE!</v>
      </c>
      <c r="Y8" t="e">
        <f ca="1">Time!O23+"VCW!;9"</f>
        <v>#VALUE!</v>
      </c>
      <c r="Z8" t="e">
        <f ca="1">Time!P23+"VCW!;:"</f>
        <v>#VALUE!</v>
      </c>
      <c r="AA8" t="e">
        <f ca="1">Time!Q23+"VCW!;;"</f>
        <v>#VALUE!</v>
      </c>
      <c r="AB8" t="e">
        <f ca="1">Time!R23+"VCW!;&lt;"</f>
        <v>#VALUE!</v>
      </c>
      <c r="AC8" t="e">
        <f ca="1">Time!S23+"VCW!;="</f>
        <v>#VALUE!</v>
      </c>
      <c r="AD8" t="e">
        <f ca="1">Time!T23+"VCW!;&gt;"</f>
        <v>#VALUE!</v>
      </c>
      <c r="AE8" t="e">
        <f ca="1">Time!U23+"VCW!;?"</f>
        <v>#VALUE!</v>
      </c>
      <c r="AF8" t="e">
        <f ca="1">Time!V23+"VCW!;@"</f>
        <v>#VALUE!</v>
      </c>
      <c r="AG8" t="e">
        <f ca="1">Time!W23+"VCW!;A"</f>
        <v>#VALUE!</v>
      </c>
      <c r="AH8" t="e">
        <f ca="1">Time!X23+"VCW!;B"</f>
        <v>#VALUE!</v>
      </c>
      <c r="AI8" t="e">
        <f ca="1">Time!Y23+"VCW!;C"</f>
        <v>#VALUE!</v>
      </c>
      <c r="AJ8" t="e">
        <f ca="1">Time!Z23+"VCW!;D"</f>
        <v>#VALUE!</v>
      </c>
      <c r="AK8" t="e">
        <f ca="1">Time!AA23+"VCW!;E"</f>
        <v>#VALUE!</v>
      </c>
      <c r="AL8" t="e">
        <f ca="1">Time!AB23+"VCW!;F"</f>
        <v>#VALUE!</v>
      </c>
      <c r="AM8" t="e">
        <f ca="1">Time!AC23+"VCW!;G"</f>
        <v>#VALUE!</v>
      </c>
      <c r="AN8" t="e">
        <f ca="1">Time!AD23+"VCW!;H"</f>
        <v>#VALUE!</v>
      </c>
      <c r="AO8" t="e">
        <f ca="1">Time!AE23+"VCW!;I"</f>
        <v>#VALUE!</v>
      </c>
      <c r="AP8" t="e">
        <f ca="1">Time!AF23+"VCW!;J"</f>
        <v>#VALUE!</v>
      </c>
      <c r="AQ8" t="e">
        <f ca="1">Time!AG23+"VCW!;K"</f>
        <v>#VALUE!</v>
      </c>
      <c r="AR8" t="e">
        <f ca="1">Time!AH23+"VCW!;L"</f>
        <v>#VALUE!</v>
      </c>
      <c r="AS8" t="e">
        <f ca="1">Time!AI23+"VCW!;M"</f>
        <v>#VALUE!</v>
      </c>
      <c r="AT8" t="e">
        <f ca="1">Time!AJ23+"VCW!;N"</f>
        <v>#VALUE!</v>
      </c>
      <c r="AU8" t="e">
        <f ca="1">Time!AK23+"VCW!;O"</f>
        <v>#VALUE!</v>
      </c>
      <c r="AV8" t="e">
        <f ca="1">Time!AL23+"VCW!;P"</f>
        <v>#VALUE!</v>
      </c>
      <c r="AW8" t="e">
        <f ca="1">Time!AM23+"VCW!;Q"</f>
        <v>#VALUE!</v>
      </c>
      <c r="AX8" t="e">
        <f ca="1">Time!AN23+"VCW!;R"</f>
        <v>#VALUE!</v>
      </c>
      <c r="AY8" t="e">
        <f ca="1">Time!AO23+"VCW!;S"</f>
        <v>#VALUE!</v>
      </c>
      <c r="AZ8" t="e">
        <f ca="1">Time!AP23+"VCW!;T"</f>
        <v>#VALUE!</v>
      </c>
      <c r="BA8" t="e">
        <f ca="1">Time!AQ23+"VCW!;U"</f>
        <v>#VALUE!</v>
      </c>
      <c r="BB8" t="e">
        <f ca="1">Time!AR23+"VCW!;V"</f>
        <v>#VALUE!</v>
      </c>
      <c r="BC8" t="e">
        <f ca="1">Time!AS23+"VCW!;W"</f>
        <v>#VALUE!</v>
      </c>
      <c r="BD8" t="e">
        <f ca="1">Time!AT23+"VCW!;X"</f>
        <v>#VALUE!</v>
      </c>
      <c r="BE8" t="e">
        <f ca="1">Time!AU23+"VCW!;Y"</f>
        <v>#VALUE!</v>
      </c>
      <c r="BF8" t="e">
        <f ca="1">Time!AV23+"VCW!;Z"</f>
        <v>#VALUE!</v>
      </c>
      <c r="BG8" t="e">
        <f ca="1">Time!AW23+"VCW!;["</f>
        <v>#VALUE!</v>
      </c>
      <c r="BH8" t="e">
        <f ca="1">Time!AX23+"VCW!;\"</f>
        <v>#VALUE!</v>
      </c>
      <c r="BI8" t="e">
        <f ca="1">Time!AY23+"VCW!;]"</f>
        <v>#VALUE!</v>
      </c>
      <c r="BJ8" t="e">
        <f ca="1">Time!AZ23+"VCW!;^"</f>
        <v>#VALUE!</v>
      </c>
      <c r="BK8" t="e">
        <f ca="1">Time!BA23+"VCW!;_"</f>
        <v>#VALUE!</v>
      </c>
      <c r="BL8" t="e">
        <f ca="1">Time!BB23+"VCW!;`"</f>
        <v>#VALUE!</v>
      </c>
      <c r="BM8" t="e">
        <f ca="1">Time!BC23+"VCW!;a"</f>
        <v>#VALUE!</v>
      </c>
      <c r="BN8" t="e">
        <f ca="1">Time!BD23+"VCW!;b"</f>
        <v>#VALUE!</v>
      </c>
      <c r="BO8" t="e">
        <f ca="1">Time!BE23+"VCW!;c"</f>
        <v>#VALUE!</v>
      </c>
      <c r="BP8" t="e">
        <f ca="1">Time!BF23+"VCW!;d"</f>
        <v>#VALUE!</v>
      </c>
      <c r="BQ8" t="e">
        <f ca="1">Time!BG23+"VCW!;e"</f>
        <v>#VALUE!</v>
      </c>
      <c r="BR8" t="e">
        <f ca="1">Time!BH23+"VCW!;f"</f>
        <v>#VALUE!</v>
      </c>
      <c r="BS8" t="e">
        <f ca="1">Time!BI23+"VCW!;g"</f>
        <v>#VALUE!</v>
      </c>
      <c r="BT8" t="e">
        <f ca="1">Time!BJ23+"VCW!;h"</f>
        <v>#VALUE!</v>
      </c>
      <c r="BU8" t="e">
        <f ca="1">Time!BK23+"VCW!;i"</f>
        <v>#VALUE!</v>
      </c>
      <c r="BV8" t="e">
        <f ca="1">Time!BL23+"VCW!;j"</f>
        <v>#VALUE!</v>
      </c>
      <c r="BW8" t="e">
        <f ca="1">Time!BM23+"VCW!;k"</f>
        <v>#VALUE!</v>
      </c>
      <c r="BX8" t="e">
        <f ca="1">Time!BN23+"VCW!;l"</f>
        <v>#VALUE!</v>
      </c>
      <c r="BY8" t="e">
        <f ca="1">Time!BO23+"VCW!;m"</f>
        <v>#VALUE!</v>
      </c>
      <c r="BZ8" t="e">
        <f ca="1">Time!BP23+"VCW!;n"</f>
        <v>#VALUE!</v>
      </c>
      <c r="CA8" t="e">
        <f ca="1">Time!BQ23+"VCW!;o"</f>
        <v>#VALUE!</v>
      </c>
      <c r="CB8" t="e">
        <f ca="1">Time!BR23+"VCW!;p"</f>
        <v>#VALUE!</v>
      </c>
      <c r="CC8" t="e">
        <f ca="1">Time!BS23+"VCW!;q"</f>
        <v>#VALUE!</v>
      </c>
      <c r="CD8" t="e">
        <f ca="1">Time!BT23+"VCW!;r"</f>
        <v>#VALUE!</v>
      </c>
      <c r="CE8" t="e">
        <f ca="1">Time!BU23+"VCW!;s"</f>
        <v>#VALUE!</v>
      </c>
      <c r="CF8" t="e">
        <f ca="1">Time!BV23+"VCW!;t"</f>
        <v>#VALUE!</v>
      </c>
      <c r="CG8" t="e">
        <f ca="1">Time!BW23+"VCW!;u"</f>
        <v>#VALUE!</v>
      </c>
      <c r="CH8" t="e">
        <f ca="1">Time!BX23+"VCW!;v"</f>
        <v>#VALUE!</v>
      </c>
      <c r="CI8" t="e">
        <f ca="1">Time!BY23+"VCW!;w"</f>
        <v>#VALUE!</v>
      </c>
      <c r="CJ8" t="e">
        <f ca="1">Time!A24+"VCW!;x"</f>
        <v>#VALUE!</v>
      </c>
      <c r="CK8" t="e">
        <f ca="1">Time!B24+"VCW!;y"</f>
        <v>#VALUE!</v>
      </c>
      <c r="CL8" t="e">
        <f ca="1">Time!C24+"VCW!;z"</f>
        <v>#VALUE!</v>
      </c>
      <c r="CM8" t="e">
        <f ca="1">Time!D24+"VCW!;{"</f>
        <v>#VALUE!</v>
      </c>
      <c r="CN8" t="e">
        <f ca="1">Time!E24+"VCW!;|"</f>
        <v>#VALUE!</v>
      </c>
      <c r="CO8" t="e">
        <f ca="1">Time!F24+"VCW!;}"</f>
        <v>#VALUE!</v>
      </c>
      <c r="CP8" t="e">
        <f ca="1">Time!G24+"VCW!;~"</f>
        <v>#VALUE!</v>
      </c>
      <c r="CQ8" t="e">
        <f ca="1">Time!H24+"VCW!&lt;#"</f>
        <v>#VALUE!</v>
      </c>
      <c r="CR8" t="e">
        <f ca="1">Time!I24+"VCW!&lt;$"</f>
        <v>#VALUE!</v>
      </c>
      <c r="CS8" t="e">
        <f ca="1">Time!J24+"VCW!&lt;%"</f>
        <v>#VALUE!</v>
      </c>
      <c r="CT8" t="e">
        <f ca="1">Time!K24+"VCW!&lt;&amp;"</f>
        <v>#VALUE!</v>
      </c>
      <c r="CU8" t="e">
        <f ca="1">Time!L24+"VCW!&lt;'"</f>
        <v>#VALUE!</v>
      </c>
      <c r="CV8" t="e">
        <f ca="1">Time!M24+"VCW!&lt;("</f>
        <v>#VALUE!</v>
      </c>
      <c r="CW8" t="e">
        <f ca="1">Time!N24+"VCW!&lt;)"</f>
        <v>#VALUE!</v>
      </c>
      <c r="CX8" t="e">
        <f ca="1">Time!O24+"VCW!&lt;."</f>
        <v>#VALUE!</v>
      </c>
      <c r="CY8" t="e">
        <f ca="1">Time!P24+"VCW!&lt;/"</f>
        <v>#VALUE!</v>
      </c>
      <c r="CZ8" t="e">
        <f ca="1">Time!Q24+"VCW!&lt;0"</f>
        <v>#VALUE!</v>
      </c>
      <c r="DA8" t="e">
        <f ca="1">Time!R24+"VCW!&lt;1"</f>
        <v>#VALUE!</v>
      </c>
      <c r="DB8" t="e">
        <f ca="1">Time!S24+"VCW!&lt;2"</f>
        <v>#VALUE!</v>
      </c>
      <c r="DC8" t="e">
        <f ca="1">Time!T24+"VCW!&lt;3"</f>
        <v>#VALUE!</v>
      </c>
      <c r="DD8" t="e">
        <f ca="1">Time!U24+"VCW!&lt;4"</f>
        <v>#VALUE!</v>
      </c>
      <c r="DE8" t="e">
        <f ca="1">Time!V24+"VCW!&lt;5"</f>
        <v>#VALUE!</v>
      </c>
      <c r="DF8" t="e">
        <f ca="1">Time!W24+"VCW!&lt;6"</f>
        <v>#VALUE!</v>
      </c>
      <c r="DG8" t="e">
        <f ca="1">Time!X24+"VCW!&lt;7"</f>
        <v>#VALUE!</v>
      </c>
      <c r="DH8" t="e">
        <f ca="1">Time!Y24+"VCW!&lt;8"</f>
        <v>#VALUE!</v>
      </c>
      <c r="DI8" t="e">
        <f ca="1">Time!Z24+"VCW!&lt;9"</f>
        <v>#VALUE!</v>
      </c>
      <c r="DJ8" t="e">
        <f ca="1">Time!AA24+"VCW!&lt;:"</f>
        <v>#VALUE!</v>
      </c>
      <c r="DK8" t="e">
        <f ca="1">Time!AB24+"VCW!&lt;;"</f>
        <v>#VALUE!</v>
      </c>
      <c r="DL8" t="e">
        <f ca="1">Time!AC24+"VCW!&lt;&lt;"</f>
        <v>#VALUE!</v>
      </c>
      <c r="DM8" t="e">
        <f ca="1">Time!AD24+"VCW!&lt;="</f>
        <v>#VALUE!</v>
      </c>
      <c r="DN8" t="e">
        <f ca="1">Time!AE24+"VCW!&lt;&gt;"</f>
        <v>#VALUE!</v>
      </c>
      <c r="DO8" t="e">
        <f ca="1">Time!AF24+"VCW!&lt;?"</f>
        <v>#VALUE!</v>
      </c>
      <c r="DP8" t="e">
        <f ca="1">Time!AG24+"VCW!&lt;@"</f>
        <v>#VALUE!</v>
      </c>
      <c r="DQ8" t="e">
        <f ca="1">Time!AH24+"VCW!&lt;A"</f>
        <v>#VALUE!</v>
      </c>
      <c r="DR8" t="e">
        <f ca="1">Time!AI24+"VCW!&lt;B"</f>
        <v>#VALUE!</v>
      </c>
      <c r="DS8" t="e">
        <f ca="1">Time!AJ24+"VCW!&lt;C"</f>
        <v>#VALUE!</v>
      </c>
      <c r="DT8" t="e">
        <f ca="1">Time!AK24+"VCW!&lt;D"</f>
        <v>#VALUE!</v>
      </c>
      <c r="DU8" t="e">
        <f ca="1">Time!AL24+"VCW!&lt;E"</f>
        <v>#VALUE!</v>
      </c>
      <c r="DV8" t="e">
        <f ca="1">Time!AM24+"VCW!&lt;F"</f>
        <v>#VALUE!</v>
      </c>
      <c r="DW8" t="e">
        <f ca="1">Time!AN24+"VCW!&lt;G"</f>
        <v>#VALUE!</v>
      </c>
      <c r="DX8" t="e">
        <f ca="1">Time!AO24+"VCW!&lt;H"</f>
        <v>#VALUE!</v>
      </c>
      <c r="DY8" t="e">
        <f ca="1">Time!AP24+"VCW!&lt;I"</f>
        <v>#VALUE!</v>
      </c>
      <c r="DZ8" t="e">
        <f ca="1">Time!AQ24+"VCW!&lt;J"</f>
        <v>#VALUE!</v>
      </c>
      <c r="EA8" t="e">
        <f ca="1">Time!AR24+"VCW!&lt;K"</f>
        <v>#VALUE!</v>
      </c>
      <c r="EB8" t="e">
        <f ca="1">Time!AS24+"VCW!&lt;L"</f>
        <v>#VALUE!</v>
      </c>
      <c r="EC8" t="e">
        <f ca="1">Time!AT24+"VCW!&lt;M"</f>
        <v>#VALUE!</v>
      </c>
      <c r="ED8" t="e">
        <f ca="1">Time!AU24+"VCW!&lt;N"</f>
        <v>#VALUE!</v>
      </c>
      <c r="EE8" t="e">
        <f ca="1">Time!AV24+"VCW!&lt;O"</f>
        <v>#VALUE!</v>
      </c>
      <c r="EF8" t="e">
        <f ca="1">Time!AW24+"VCW!&lt;P"</f>
        <v>#VALUE!</v>
      </c>
      <c r="EG8" t="e">
        <f ca="1">Time!AX24+"VCW!&lt;Q"</f>
        <v>#VALUE!</v>
      </c>
      <c r="EH8" t="e">
        <f ca="1">Time!AY24+"VCW!&lt;R"</f>
        <v>#VALUE!</v>
      </c>
      <c r="EI8" t="e">
        <f ca="1">Time!AZ24+"VCW!&lt;S"</f>
        <v>#VALUE!</v>
      </c>
      <c r="EJ8" t="e">
        <f ca="1">Time!BA24+"VCW!&lt;T"</f>
        <v>#VALUE!</v>
      </c>
      <c r="EK8" t="e">
        <f ca="1">Time!BB24+"VCW!&lt;U"</f>
        <v>#VALUE!</v>
      </c>
      <c r="EL8" t="e">
        <f ca="1">Time!BC24+"VCW!&lt;V"</f>
        <v>#VALUE!</v>
      </c>
      <c r="EM8" t="e">
        <f ca="1">Time!BD24+"VCW!&lt;W"</f>
        <v>#VALUE!</v>
      </c>
      <c r="EN8" t="e">
        <f ca="1">Time!BE24+"VCW!&lt;X"</f>
        <v>#VALUE!</v>
      </c>
      <c r="EO8" t="e">
        <f ca="1">Time!BF24+"VCW!&lt;Y"</f>
        <v>#VALUE!</v>
      </c>
      <c r="EP8" t="e">
        <f ca="1">Time!BG24+"VCW!&lt;Z"</f>
        <v>#VALUE!</v>
      </c>
      <c r="EQ8" t="e">
        <f ca="1">Time!BH24+"VCW!&lt;["</f>
        <v>#VALUE!</v>
      </c>
      <c r="ER8" t="e">
        <f ca="1">Time!BI24+"VCW!&lt;\"</f>
        <v>#VALUE!</v>
      </c>
      <c r="ES8" t="e">
        <f ca="1">Time!BJ24+"VCW!&lt;]"</f>
        <v>#VALUE!</v>
      </c>
      <c r="ET8" t="e">
        <f ca="1">Time!BK24+"VCW!&lt;^"</f>
        <v>#VALUE!</v>
      </c>
      <c r="EU8" t="e">
        <f ca="1">Time!BL24+"VCW!&lt;_"</f>
        <v>#VALUE!</v>
      </c>
      <c r="EV8" t="e">
        <f ca="1">Time!BM24+"VCW!&lt;`"</f>
        <v>#VALUE!</v>
      </c>
      <c r="EW8" t="e">
        <f ca="1">Time!BN24+"VCW!&lt;a"</f>
        <v>#VALUE!</v>
      </c>
      <c r="EX8" t="e">
        <f ca="1">Time!BO24+"VCW!&lt;b"</f>
        <v>#VALUE!</v>
      </c>
      <c r="EY8" t="e">
        <f ca="1">Time!BP24+"VCW!&lt;c"</f>
        <v>#VALUE!</v>
      </c>
      <c r="EZ8" t="e">
        <f ca="1">Time!BQ24+"VCW!&lt;d"</f>
        <v>#VALUE!</v>
      </c>
      <c r="FA8" t="e">
        <f ca="1">Time!BR24+"VCW!&lt;e"</f>
        <v>#VALUE!</v>
      </c>
      <c r="FB8" t="e">
        <f ca="1">Time!BS24+"VCW!&lt;f"</f>
        <v>#VALUE!</v>
      </c>
      <c r="FC8" t="e">
        <f ca="1">Time!BT24+"VCW!&lt;g"</f>
        <v>#VALUE!</v>
      </c>
      <c r="FD8" t="e">
        <f ca="1">Time!BU24+"VCW!&lt;h"</f>
        <v>#VALUE!</v>
      </c>
      <c r="FE8" t="e">
        <f ca="1">Time!BV24+"VCW!&lt;i"</f>
        <v>#VALUE!</v>
      </c>
      <c r="FF8" t="e">
        <f ca="1">Time!BW24+"VCW!&lt;j"</f>
        <v>#VALUE!</v>
      </c>
      <c r="FG8" t="e">
        <f ca="1">Time!BX24+"VCW!&lt;k"</f>
        <v>#VALUE!</v>
      </c>
      <c r="FH8" t="e">
        <f ca="1">Time!BY24+"VCW!&lt;l"</f>
        <v>#VALUE!</v>
      </c>
      <c r="FI8" t="e">
        <f ca="1">Time!A25+"VCW!&lt;m"</f>
        <v>#VALUE!</v>
      </c>
      <c r="FJ8" t="e">
        <f ca="1">Time!B25+"VCW!&lt;n"</f>
        <v>#VALUE!</v>
      </c>
      <c r="FK8" t="e">
        <f ca="1">Time!C25+"VCW!&lt;o"</f>
        <v>#VALUE!</v>
      </c>
      <c r="FL8" t="e">
        <f ca="1">Time!D25+"VCW!&lt;p"</f>
        <v>#VALUE!</v>
      </c>
      <c r="FM8" t="e">
        <f ca="1">Time!E25+"VCW!&lt;q"</f>
        <v>#VALUE!</v>
      </c>
      <c r="FN8" t="e">
        <f ca="1">Time!G25+"VCW!&lt;r"</f>
        <v>#VALUE!</v>
      </c>
      <c r="FO8" t="e">
        <f ca="1">Time!I25+"VCW!&lt;s"</f>
        <v>#VALUE!</v>
      </c>
      <c r="FP8" t="e">
        <f ca="1">Time!J25+"VCW!&lt;t"</f>
        <v>#VALUE!</v>
      </c>
      <c r="FQ8" t="e">
        <f ca="1">Time!K25+"VCW!&lt;u"</f>
        <v>#VALUE!</v>
      </c>
      <c r="FR8" t="e">
        <f ca="1">Time!L25+"VCW!&lt;v"</f>
        <v>#VALUE!</v>
      </c>
      <c r="FS8" t="e">
        <f ca="1">Time!M25+"VCW!&lt;w"</f>
        <v>#VALUE!</v>
      </c>
      <c r="FT8" t="e">
        <f ca="1">Time!N25+"VCW!&lt;x"</f>
        <v>#VALUE!</v>
      </c>
      <c r="FU8" t="e">
        <f ca="1">Time!O25+"VCW!&lt;y"</f>
        <v>#VALUE!</v>
      </c>
      <c r="FV8" t="e">
        <f ca="1">Time!P25+"VCW!&lt;z"</f>
        <v>#VALUE!</v>
      </c>
      <c r="FW8" t="e">
        <f ca="1">Time!Q25+"VCW!&lt;{"</f>
        <v>#VALUE!</v>
      </c>
      <c r="FX8" t="e">
        <f ca="1">Time!R25+"VCW!&lt;|"</f>
        <v>#VALUE!</v>
      </c>
      <c r="FY8" t="e">
        <f ca="1">Time!S25+"VCW!&lt;}"</f>
        <v>#VALUE!</v>
      </c>
      <c r="FZ8" t="e">
        <f ca="1">Time!T25+"VCW!&lt;~"</f>
        <v>#VALUE!</v>
      </c>
      <c r="GA8" t="e">
        <f ca="1">Time!U25+"VCW!=#"</f>
        <v>#VALUE!</v>
      </c>
      <c r="GB8" t="e">
        <f ca="1">Time!V25+"VCW!=$"</f>
        <v>#VALUE!</v>
      </c>
      <c r="GC8" t="e">
        <f ca="1">Time!W25+"VCW!=%"</f>
        <v>#VALUE!</v>
      </c>
      <c r="GD8" t="e">
        <f ca="1">Time!X25+"VCW!=&amp;"</f>
        <v>#VALUE!</v>
      </c>
      <c r="GE8" t="e">
        <f ca="1">Time!Y25+"VCW!='"</f>
        <v>#VALUE!</v>
      </c>
      <c r="GF8" t="e">
        <f ca="1">Time!Z25+"VCW!=("</f>
        <v>#VALUE!</v>
      </c>
      <c r="GG8" t="e">
        <f ca="1">Time!AA25+"VCW!=)"</f>
        <v>#VALUE!</v>
      </c>
      <c r="GH8" t="e">
        <f ca="1">Time!AB25+"VCW!=."</f>
        <v>#VALUE!</v>
      </c>
      <c r="GI8" t="e">
        <f ca="1">Time!AC25+"VCW!=/"</f>
        <v>#VALUE!</v>
      </c>
      <c r="GJ8" t="e">
        <f ca="1">Time!AD25+"VCW!=0"</f>
        <v>#VALUE!</v>
      </c>
      <c r="GK8" t="e">
        <f ca="1">Time!AE25+"VCW!=1"</f>
        <v>#VALUE!</v>
      </c>
      <c r="GL8" t="e">
        <f ca="1">Time!AF25+"VCW!=2"</f>
        <v>#VALUE!</v>
      </c>
      <c r="GM8" t="e">
        <f ca="1">Time!AG25+"VCW!=3"</f>
        <v>#VALUE!</v>
      </c>
      <c r="GN8" t="e">
        <f ca="1">Time!AH25+"VCW!=4"</f>
        <v>#VALUE!</v>
      </c>
      <c r="GO8" t="e">
        <f ca="1">Time!AI25+"VCW!=5"</f>
        <v>#VALUE!</v>
      </c>
      <c r="GP8" t="e">
        <f ca="1">Time!AJ25+"VCW!=6"</f>
        <v>#VALUE!</v>
      </c>
      <c r="GQ8" t="e">
        <f ca="1">Time!AK25+"VCW!=7"</f>
        <v>#VALUE!</v>
      </c>
      <c r="GR8" t="e">
        <f ca="1">Time!AL25+"VCW!=8"</f>
        <v>#VALUE!</v>
      </c>
      <c r="GS8" t="e">
        <f ca="1">Time!AM25+"VCW!=9"</f>
        <v>#VALUE!</v>
      </c>
      <c r="GT8" t="e">
        <f ca="1">Time!AN25+"VCW!=:"</f>
        <v>#VALUE!</v>
      </c>
      <c r="GU8" t="e">
        <f ca="1">Time!AO25+"VCW!=;"</f>
        <v>#VALUE!</v>
      </c>
      <c r="GV8" t="e">
        <f ca="1">Time!AP25+"VCW!=&lt;"</f>
        <v>#VALUE!</v>
      </c>
      <c r="GW8" t="e">
        <f ca="1">Time!AQ25+"VCW!=="</f>
        <v>#VALUE!</v>
      </c>
      <c r="GX8" t="e">
        <f ca="1">Time!AR25+"VCW!=&gt;"</f>
        <v>#VALUE!</v>
      </c>
      <c r="GY8" t="e">
        <f ca="1">Time!AS25+"VCW!=?"</f>
        <v>#VALUE!</v>
      </c>
      <c r="GZ8" t="e">
        <f ca="1">Time!AT25+"VCW!=@"</f>
        <v>#VALUE!</v>
      </c>
      <c r="HA8" t="e">
        <f ca="1">Time!AU25+"VCW!=A"</f>
        <v>#VALUE!</v>
      </c>
      <c r="HB8" t="e">
        <f ca="1">Time!AV25+"VCW!=B"</f>
        <v>#VALUE!</v>
      </c>
      <c r="HC8" t="e">
        <f ca="1">Time!AW25+"VCW!=C"</f>
        <v>#VALUE!</v>
      </c>
      <c r="HD8" t="e">
        <f ca="1">Time!AX25+"VCW!=D"</f>
        <v>#VALUE!</v>
      </c>
      <c r="HE8" t="e">
        <f ca="1">Time!AY25+"VCW!=E"</f>
        <v>#VALUE!</v>
      </c>
      <c r="HF8" t="e">
        <f ca="1">Time!AZ25+"VCW!=F"</f>
        <v>#VALUE!</v>
      </c>
      <c r="HG8" t="e">
        <f ca="1">Time!BA25+"VCW!=G"</f>
        <v>#VALUE!</v>
      </c>
      <c r="HH8" t="e">
        <f ca="1">Time!BB25+"VCW!=H"</f>
        <v>#VALUE!</v>
      </c>
      <c r="HI8" t="e">
        <f ca="1">Time!BC25+"VCW!=I"</f>
        <v>#VALUE!</v>
      </c>
      <c r="HJ8" t="e">
        <f ca="1">Time!BD25+"VCW!=J"</f>
        <v>#VALUE!</v>
      </c>
      <c r="HK8" t="e">
        <f ca="1">Time!BE25+"VCW!=K"</f>
        <v>#VALUE!</v>
      </c>
      <c r="HL8" t="e">
        <f ca="1">Time!BF25+"VCW!=L"</f>
        <v>#VALUE!</v>
      </c>
      <c r="HM8" t="e">
        <f ca="1">Time!BG25+"VCW!=M"</f>
        <v>#VALUE!</v>
      </c>
      <c r="HN8" t="e">
        <f ca="1">Time!BH25+"VCW!=N"</f>
        <v>#VALUE!</v>
      </c>
      <c r="HO8" t="e">
        <f ca="1">Time!BI25+"VCW!=O"</f>
        <v>#VALUE!</v>
      </c>
      <c r="HP8" t="e">
        <f ca="1">Time!BJ25+"VCW!=P"</f>
        <v>#VALUE!</v>
      </c>
      <c r="HQ8" t="e">
        <f ca="1">Time!BK25+"VCW!=Q"</f>
        <v>#VALUE!</v>
      </c>
      <c r="HR8" t="e">
        <f ca="1">Time!BL25+"VCW!=R"</f>
        <v>#VALUE!</v>
      </c>
      <c r="HS8" t="e">
        <f ca="1">Time!BM25+"VCW!=S"</f>
        <v>#VALUE!</v>
      </c>
      <c r="HT8" t="e">
        <f ca="1">Time!BN25+"VCW!=T"</f>
        <v>#VALUE!</v>
      </c>
      <c r="HU8" t="e">
        <f ca="1">Time!BO25+"VCW!=U"</f>
        <v>#VALUE!</v>
      </c>
      <c r="HV8" t="e">
        <f ca="1">Time!BP25+"VCW!=V"</f>
        <v>#VALUE!</v>
      </c>
      <c r="HW8" t="e">
        <f ca="1">Time!BQ25+"VCW!=W"</f>
        <v>#VALUE!</v>
      </c>
      <c r="HX8" t="e">
        <f ca="1">Time!BR25+"VCW!=X"</f>
        <v>#VALUE!</v>
      </c>
      <c r="HY8" t="e">
        <f ca="1">Time!BS25+"VCW!=Y"</f>
        <v>#VALUE!</v>
      </c>
      <c r="HZ8" t="e">
        <f ca="1">Time!BT25+"VCW!=Z"</f>
        <v>#VALUE!</v>
      </c>
      <c r="IA8" t="e">
        <f ca="1">Time!BU25+"VCW!=["</f>
        <v>#VALUE!</v>
      </c>
      <c r="IB8" t="e">
        <f ca="1">Time!BV25+"VCW!=\"</f>
        <v>#VALUE!</v>
      </c>
      <c r="IC8" t="e">
        <f ca="1">Time!BW25+"VCW!=]"</f>
        <v>#VALUE!</v>
      </c>
      <c r="ID8" t="e">
        <f ca="1">Time!BX25+"VCW!=^"</f>
        <v>#VALUE!</v>
      </c>
      <c r="IE8" t="e">
        <f ca="1">Time!BY25+"VCW!=_"</f>
        <v>#VALUE!</v>
      </c>
      <c r="IF8" t="e">
        <f ca="1">Time!A26+"VCW!=`"</f>
        <v>#VALUE!</v>
      </c>
      <c r="IG8" t="e">
        <f ca="1">Time!B26+"VCW!=a"</f>
        <v>#VALUE!</v>
      </c>
      <c r="IH8" t="e">
        <f ca="1">Time!C26+"VCW!=b"</f>
        <v>#VALUE!</v>
      </c>
      <c r="II8" t="e">
        <f ca="1">Time!A27+"VCW!=c"</f>
        <v>#VALUE!</v>
      </c>
      <c r="IJ8" t="e">
        <f ca="1">Time!B27+"VCW!=d"</f>
        <v>#VALUE!</v>
      </c>
      <c r="IK8" t="e">
        <f ca="1">Time!C27+"VCW!=e"</f>
        <v>#VALUE!</v>
      </c>
      <c r="IL8" t="e">
        <f ca="1">Time!A28+"VCW!=f"</f>
        <v>#VALUE!</v>
      </c>
      <c r="IM8" t="e">
        <f ca="1">Time!B28+"VCW!=g"</f>
        <v>#VALUE!</v>
      </c>
      <c r="IN8" t="e">
        <f ca="1">Time!C28+"VCW!=h"</f>
        <v>#VALUE!</v>
      </c>
      <c r="IO8" t="e">
        <f ca="1">Time!A29+"VCW!=i"</f>
        <v>#VALUE!</v>
      </c>
      <c r="IP8" t="e">
        <f ca="1">Time!B29+"VCW!=j"</f>
        <v>#VALUE!</v>
      </c>
      <c r="IQ8" t="e">
        <f ca="1">Time!C29+"VCW!=k"</f>
        <v>#VALUE!</v>
      </c>
      <c r="IR8" t="e">
        <f ca="1">Time!A30+"VCW!=l"</f>
        <v>#VALUE!</v>
      </c>
      <c r="IS8" t="e">
        <f ca="1">Time!B30+"VCW!=m"</f>
        <v>#VALUE!</v>
      </c>
      <c r="IT8" t="e">
        <f ca="1">Time!C30+"VCW!=n"</f>
        <v>#VALUE!</v>
      </c>
      <c r="IU8" t="e">
        <f ca="1">Time!A31+"VCW!=o"</f>
        <v>#VALUE!</v>
      </c>
      <c r="IV8" t="e">
        <f ca="1">Time!B31+"VCW!=p"</f>
        <v>#VALUE!</v>
      </c>
    </row>
    <row r="9" spans="1:256" x14ac:dyDescent="0.2">
      <c r="F9" t="e">
        <f ca="1">Time!C31+"VCW!=q"</f>
        <v>#VALUE!</v>
      </c>
      <c r="G9" t="e">
        <f ca="1">Time!E31+"VCW!=r"</f>
        <v>#VALUE!</v>
      </c>
      <c r="H9" t="e">
        <f ca="1">Time!F31+"VCW!=s"</f>
        <v>#VALUE!</v>
      </c>
      <c r="I9" t="e">
        <f ca="1">Time!G31+"VCW!=t"</f>
        <v>#VALUE!</v>
      </c>
      <c r="J9" t="e">
        <f ca="1">Time!A32+"VCW!=u"</f>
        <v>#VALUE!</v>
      </c>
      <c r="K9" t="e">
        <f ca="1">Time!B32+"VCW!=v"</f>
        <v>#VALUE!</v>
      </c>
      <c r="L9" t="e">
        <f ca="1">Time!C32+"VCW!=w"</f>
        <v>#VALUE!</v>
      </c>
      <c r="M9" t="e">
        <f ca="1">Time!D32+"VCW!=x"</f>
        <v>#VALUE!</v>
      </c>
      <c r="N9" t="e">
        <f ca="1">Time!E32+"VCW!=y"</f>
        <v>#VALUE!</v>
      </c>
      <c r="O9" t="e">
        <f ca="1">Time!F32+"VCW!=z"</f>
        <v>#VALUE!</v>
      </c>
      <c r="P9" t="e">
        <f ca="1">Time!G32+"VCW!={"</f>
        <v>#VALUE!</v>
      </c>
      <c r="Q9" t="e">
        <f ca="1">Time!H32+"VCW!=|"</f>
        <v>#VALUE!</v>
      </c>
      <c r="R9" t="e">
        <f ca="1">Time!I32+"VCW!=}"</f>
        <v>#VALUE!</v>
      </c>
      <c r="S9" t="e">
        <f ca="1">Time!J32+"VCW!=~"</f>
        <v>#VALUE!</v>
      </c>
      <c r="T9" t="e">
        <f ca="1">Time!K32+"VCW!&gt;#"</f>
        <v>#VALUE!</v>
      </c>
      <c r="U9" t="e">
        <f ca="1">Time!L32+"VCW!&gt;$"</f>
        <v>#VALUE!</v>
      </c>
      <c r="V9" t="e">
        <f ca="1">Time!M32+"VCW!&gt;%"</f>
        <v>#VALUE!</v>
      </c>
      <c r="W9" t="e">
        <f ca="1">Time!N32+"VCW!&gt;&amp;"</f>
        <v>#VALUE!</v>
      </c>
      <c r="X9" t="e">
        <f ca="1">Time!O32+"VCW!&gt;'"</f>
        <v>#VALUE!</v>
      </c>
      <c r="Y9" t="e">
        <f ca="1">Time!P32+"VCW!&gt;("</f>
        <v>#VALUE!</v>
      </c>
      <c r="Z9" t="e">
        <f ca="1">Time!Q32+"VCW!&gt;)"</f>
        <v>#VALUE!</v>
      </c>
      <c r="AA9" t="e">
        <f ca="1">Time!R32+"VCW!&gt;."</f>
        <v>#VALUE!</v>
      </c>
      <c r="AB9" t="e">
        <f ca="1">Time!S32+"VCW!&gt;/"</f>
        <v>#VALUE!</v>
      </c>
      <c r="AC9" t="e">
        <f ca="1">Time!T32+"VCW!&gt;0"</f>
        <v>#VALUE!</v>
      </c>
      <c r="AD9" t="e">
        <f ca="1">Time!U32+"VCW!&gt;1"</f>
        <v>#VALUE!</v>
      </c>
      <c r="AE9" t="e">
        <f ca="1">Time!V32+"VCW!&gt;2"</f>
        <v>#VALUE!</v>
      </c>
      <c r="AF9" t="e">
        <f ca="1">Time!W32+"VCW!&gt;3"</f>
        <v>#VALUE!</v>
      </c>
      <c r="AG9" t="e">
        <f ca="1">Time!X32+"VCW!&gt;4"</f>
        <v>#VALUE!</v>
      </c>
      <c r="AH9" t="e">
        <f ca="1">Time!Y32+"VCW!&gt;5"</f>
        <v>#VALUE!</v>
      </c>
      <c r="AI9" t="e">
        <f ca="1">Time!Z32+"VCW!&gt;6"</f>
        <v>#VALUE!</v>
      </c>
      <c r="AJ9" t="e">
        <f ca="1">Time!AA32+"VCW!&gt;7"</f>
        <v>#VALUE!</v>
      </c>
      <c r="AK9" t="e">
        <f ca="1">Time!AB32+"VCW!&gt;8"</f>
        <v>#VALUE!</v>
      </c>
      <c r="AL9" t="e">
        <f ca="1">Time!AC32+"VCW!&gt;9"</f>
        <v>#VALUE!</v>
      </c>
      <c r="AM9" t="e">
        <f ca="1">Time!AD32+"VCW!&gt;:"</f>
        <v>#VALUE!</v>
      </c>
      <c r="AN9" t="e">
        <f ca="1">Time!AE32+"VCW!&gt;;"</f>
        <v>#VALUE!</v>
      </c>
      <c r="AO9" t="e">
        <f ca="1">Time!AF32+"VCW!&gt;&lt;"</f>
        <v>#VALUE!</v>
      </c>
      <c r="AP9" t="e">
        <f ca="1">Time!AG32+"VCW!&gt;="</f>
        <v>#VALUE!</v>
      </c>
      <c r="AQ9" t="e">
        <f ca="1">Time!AH32+"VCW!&gt;&gt;"</f>
        <v>#VALUE!</v>
      </c>
      <c r="AR9" t="e">
        <f ca="1">Time!AI32+"VCW!&gt;?"</f>
        <v>#VALUE!</v>
      </c>
      <c r="AS9" t="e">
        <f ca="1">Time!AJ32+"VCW!&gt;@"</f>
        <v>#VALUE!</v>
      </c>
      <c r="AT9" t="e">
        <f ca="1">Time!AK32+"VCW!&gt;A"</f>
        <v>#VALUE!</v>
      </c>
      <c r="AU9" t="e">
        <f ca="1">Time!AL32+"VCW!&gt;B"</f>
        <v>#VALUE!</v>
      </c>
      <c r="AV9" t="e">
        <f ca="1">Time!AM32+"VCW!&gt;C"</f>
        <v>#VALUE!</v>
      </c>
      <c r="AW9" t="e">
        <f ca="1">Time!AN32+"VCW!&gt;D"</f>
        <v>#VALUE!</v>
      </c>
      <c r="AX9" t="e">
        <f ca="1">Time!AO32+"VCW!&gt;E"</f>
        <v>#VALUE!</v>
      </c>
      <c r="AY9" t="e">
        <f ca="1">Time!AP32+"VCW!&gt;F"</f>
        <v>#VALUE!</v>
      </c>
      <c r="AZ9" t="e">
        <f ca="1">Time!AQ32+"VCW!&gt;G"</f>
        <v>#VALUE!</v>
      </c>
      <c r="BA9" t="e">
        <f ca="1">Time!AR32+"VCW!&gt;H"</f>
        <v>#VALUE!</v>
      </c>
      <c r="BB9" t="e">
        <f ca="1">Time!AS32+"VCW!&gt;I"</f>
        <v>#VALUE!</v>
      </c>
      <c r="BC9" t="e">
        <f ca="1">Time!AT32+"VCW!&gt;J"</f>
        <v>#VALUE!</v>
      </c>
      <c r="BD9" t="e">
        <f ca="1">Time!AU32+"VCW!&gt;K"</f>
        <v>#VALUE!</v>
      </c>
      <c r="BE9" t="e">
        <f ca="1">Time!AV32+"VCW!&gt;L"</f>
        <v>#VALUE!</v>
      </c>
      <c r="BF9" t="e">
        <f ca="1">Time!AW32+"VCW!&gt;M"</f>
        <v>#VALUE!</v>
      </c>
      <c r="BG9" t="e">
        <f ca="1">Time!AX32+"VCW!&gt;N"</f>
        <v>#VALUE!</v>
      </c>
      <c r="BH9" t="e">
        <f ca="1">Time!AY32+"VCW!&gt;O"</f>
        <v>#VALUE!</v>
      </c>
      <c r="BI9" t="e">
        <f ca="1">Time!AZ32+"VCW!&gt;P"</f>
        <v>#VALUE!</v>
      </c>
      <c r="BJ9" t="e">
        <f ca="1">Time!BA32+"VCW!&gt;Q"</f>
        <v>#VALUE!</v>
      </c>
      <c r="BK9" t="e">
        <f ca="1">Time!BB32+"VCW!&gt;R"</f>
        <v>#VALUE!</v>
      </c>
      <c r="BL9" t="e">
        <f ca="1">Time!BC32+"VCW!&gt;S"</f>
        <v>#VALUE!</v>
      </c>
      <c r="BM9" t="e">
        <f ca="1">Time!BD32+"VCW!&gt;T"</f>
        <v>#VALUE!</v>
      </c>
      <c r="BN9" t="e">
        <f ca="1">Time!BE32+"VCW!&gt;U"</f>
        <v>#VALUE!</v>
      </c>
      <c r="BO9" t="e">
        <f ca="1">Time!BF32+"VCW!&gt;V"</f>
        <v>#VALUE!</v>
      </c>
      <c r="BP9" t="e">
        <f ca="1">Time!BG32+"VCW!&gt;W"</f>
        <v>#VALUE!</v>
      </c>
      <c r="BQ9" t="e">
        <f ca="1">Time!BH32+"VCW!&gt;X"</f>
        <v>#VALUE!</v>
      </c>
      <c r="BR9" t="e">
        <f ca="1">Time!BI32+"VCW!&gt;Y"</f>
        <v>#VALUE!</v>
      </c>
      <c r="BS9" t="e">
        <f ca="1">Time!BJ32+"VCW!&gt;Z"</f>
        <v>#VALUE!</v>
      </c>
      <c r="BT9" t="e">
        <f ca="1">Time!BK32+"VCW!&gt;["</f>
        <v>#VALUE!</v>
      </c>
      <c r="BU9" t="e">
        <f ca="1">Time!BL32+"VCW!&gt;\"</f>
        <v>#VALUE!</v>
      </c>
      <c r="BV9" t="e">
        <f ca="1">Time!BM32+"VCW!&gt;]"</f>
        <v>#VALUE!</v>
      </c>
      <c r="BW9" t="e">
        <f ca="1">Time!BN32+"VCW!&gt;^"</f>
        <v>#VALUE!</v>
      </c>
      <c r="BX9" t="e">
        <f ca="1">Time!BO32+"VCW!&gt;_"</f>
        <v>#VALUE!</v>
      </c>
      <c r="BY9" t="e">
        <f ca="1">Time!BP32+"VCW!&gt;`"</f>
        <v>#VALUE!</v>
      </c>
      <c r="BZ9" t="e">
        <f ca="1">Time!BQ32+"VCW!&gt;a"</f>
        <v>#VALUE!</v>
      </c>
      <c r="CA9" t="e">
        <f ca="1">Time!BR32+"VCW!&gt;b"</f>
        <v>#VALUE!</v>
      </c>
      <c r="CB9" t="e">
        <f ca="1">Time!BS32+"VCW!&gt;c"</f>
        <v>#VALUE!</v>
      </c>
      <c r="CC9" t="e">
        <f ca="1">Time!BT32+"VCW!&gt;d"</f>
        <v>#VALUE!</v>
      </c>
      <c r="CD9" t="e">
        <f ca="1">Time!BU32+"VCW!&gt;e"</f>
        <v>#VALUE!</v>
      </c>
      <c r="CE9" t="e">
        <f ca="1">Time!BV32+"VCW!&gt;f"</f>
        <v>#VALUE!</v>
      </c>
      <c r="CF9" t="e">
        <f ca="1">Time!BW32+"VCW!&gt;g"</f>
        <v>#VALUE!</v>
      </c>
      <c r="CG9" t="e">
        <f ca="1">Time!BX32+"VCW!&gt;h"</f>
        <v>#VALUE!</v>
      </c>
      <c r="CH9" t="e">
        <f ca="1">Time!BY32+"VCW!&gt;i"</f>
        <v>#VALUE!</v>
      </c>
      <c r="CI9" t="e">
        <f ca="1">Time!A33+"VCW!&gt;j"</f>
        <v>#VALUE!</v>
      </c>
      <c r="CJ9" t="e">
        <f ca="1">Time!B33+"VCW!&gt;k"</f>
        <v>#VALUE!</v>
      </c>
      <c r="CK9" t="e">
        <f ca="1">Time!C33+"VCW!&gt;l"</f>
        <v>#VALUE!</v>
      </c>
      <c r="CL9" t="e">
        <f ca="1">Time!D33+"VCW!&gt;m"</f>
        <v>#VALUE!</v>
      </c>
      <c r="CM9" t="e">
        <f ca="1">Time!E33+"VCW!&gt;n"</f>
        <v>#VALUE!</v>
      </c>
      <c r="CN9" t="e">
        <f ca="1">Time!G33+"VCW!&gt;o"</f>
        <v>#VALUE!</v>
      </c>
      <c r="CO9" t="e">
        <f ca="1">Time!H33+"VCW!&gt;p"</f>
        <v>#VALUE!</v>
      </c>
      <c r="CP9" t="e">
        <f ca="1">Time!J33+"VCW!&gt;q"</f>
        <v>#VALUE!</v>
      </c>
      <c r="CQ9" t="e">
        <f ca="1">Time!K33+"VCW!&gt;r"</f>
        <v>#VALUE!</v>
      </c>
      <c r="CR9" t="e">
        <f ca="1">Time!L33+"VCW!&gt;s"</f>
        <v>#VALUE!</v>
      </c>
      <c r="CS9" t="e">
        <f ca="1">Time!M33+"VCW!&gt;t"</f>
        <v>#VALUE!</v>
      </c>
      <c r="CT9" t="e">
        <f ca="1">Time!N33+"VCW!&gt;u"</f>
        <v>#VALUE!</v>
      </c>
      <c r="CU9" t="e">
        <f ca="1">Time!O33+"VCW!&gt;v"</f>
        <v>#VALUE!</v>
      </c>
      <c r="CV9" t="e">
        <f ca="1">Time!P33+"VCW!&gt;w"</f>
        <v>#VALUE!</v>
      </c>
      <c r="CW9" t="e">
        <f ca="1">Time!Q33+"VCW!&gt;x"</f>
        <v>#VALUE!</v>
      </c>
      <c r="CX9" t="e">
        <f ca="1">Time!R33+"VCW!&gt;y"</f>
        <v>#VALUE!</v>
      </c>
      <c r="CY9" t="e">
        <f ca="1">Time!S33+"VCW!&gt;z"</f>
        <v>#VALUE!</v>
      </c>
      <c r="CZ9" t="e">
        <f ca="1">Time!T33+"VCW!&gt;{"</f>
        <v>#VALUE!</v>
      </c>
      <c r="DA9" t="e">
        <f ca="1">Time!U33+"VCW!&gt;|"</f>
        <v>#VALUE!</v>
      </c>
      <c r="DB9" t="e">
        <f ca="1">Time!V33+"VCW!&gt;}"</f>
        <v>#VALUE!</v>
      </c>
      <c r="DC9" t="e">
        <f ca="1">Time!W33+"VCW!&gt;~"</f>
        <v>#VALUE!</v>
      </c>
      <c r="DD9" t="e">
        <f ca="1">Time!X33+"VCW!?#"</f>
        <v>#VALUE!</v>
      </c>
      <c r="DE9" t="e">
        <f ca="1">Time!Y33+"VCW!?$"</f>
        <v>#VALUE!</v>
      </c>
      <c r="DF9" t="e">
        <f ca="1">Time!Z33+"VCW!?%"</f>
        <v>#VALUE!</v>
      </c>
      <c r="DG9" t="e">
        <f ca="1">Time!AA33+"VCW!?&amp;"</f>
        <v>#VALUE!</v>
      </c>
      <c r="DH9" t="e">
        <f ca="1">Time!AB33+"VCW!?'"</f>
        <v>#VALUE!</v>
      </c>
      <c r="DI9" t="e">
        <f ca="1">Time!AC33+"VCW!?("</f>
        <v>#VALUE!</v>
      </c>
      <c r="DJ9" t="e">
        <f ca="1">Time!AD33+"VCW!?)"</f>
        <v>#VALUE!</v>
      </c>
      <c r="DK9" t="e">
        <f ca="1">Time!AE33+"VCW!?."</f>
        <v>#VALUE!</v>
      </c>
      <c r="DL9" t="e">
        <f ca="1">Time!AF33+"VCW!?/"</f>
        <v>#VALUE!</v>
      </c>
      <c r="DM9" t="e">
        <f ca="1">Time!AG33+"VCW!?0"</f>
        <v>#VALUE!</v>
      </c>
      <c r="DN9" t="e">
        <f ca="1">Time!AH33+"VCW!?1"</f>
        <v>#VALUE!</v>
      </c>
      <c r="DO9" t="e">
        <f ca="1">Time!AI33+"VCW!?2"</f>
        <v>#VALUE!</v>
      </c>
      <c r="DP9" t="e">
        <f ca="1">Time!AJ33+"VCW!?3"</f>
        <v>#VALUE!</v>
      </c>
      <c r="DQ9" t="e">
        <f ca="1">Time!AK33+"VCW!?4"</f>
        <v>#VALUE!</v>
      </c>
      <c r="DR9" t="e">
        <f ca="1">Time!AL33+"VCW!?5"</f>
        <v>#VALUE!</v>
      </c>
      <c r="DS9" t="e">
        <f ca="1">Time!AM33+"VCW!?6"</f>
        <v>#VALUE!</v>
      </c>
      <c r="DT9" t="e">
        <f ca="1">Time!AN33+"VCW!?7"</f>
        <v>#VALUE!</v>
      </c>
      <c r="DU9" t="e">
        <f ca="1">Time!AO33+"VCW!?8"</f>
        <v>#VALUE!</v>
      </c>
      <c r="DV9" t="e">
        <f ca="1">Time!AP33+"VCW!?9"</f>
        <v>#VALUE!</v>
      </c>
      <c r="DW9" t="e">
        <f ca="1">Time!AQ33+"VCW!?:"</f>
        <v>#VALUE!</v>
      </c>
      <c r="DX9" t="e">
        <f ca="1">Time!AR33+"VCW!?;"</f>
        <v>#VALUE!</v>
      </c>
      <c r="DY9" t="e">
        <f ca="1">Time!AS33+"VCW!?&lt;"</f>
        <v>#VALUE!</v>
      </c>
      <c r="DZ9" t="e">
        <f ca="1">Time!AT33+"VCW!?="</f>
        <v>#VALUE!</v>
      </c>
      <c r="EA9" t="e">
        <f ca="1">Time!AU33+"VCW!?&gt;"</f>
        <v>#VALUE!</v>
      </c>
      <c r="EB9" t="e">
        <f ca="1">Time!AV33+"VCW!??"</f>
        <v>#VALUE!</v>
      </c>
      <c r="EC9" t="e">
        <f ca="1">Time!AW33+"VCW!?@"</f>
        <v>#VALUE!</v>
      </c>
      <c r="ED9" t="e">
        <f ca="1">Time!AX33+"VCW!?A"</f>
        <v>#VALUE!</v>
      </c>
      <c r="EE9" t="e">
        <f ca="1">Time!AY33+"VCW!?B"</f>
        <v>#VALUE!</v>
      </c>
      <c r="EF9" t="e">
        <f ca="1">Time!AZ33+"VCW!?C"</f>
        <v>#VALUE!</v>
      </c>
      <c r="EG9" t="e">
        <f ca="1">Time!BA33+"VCW!?D"</f>
        <v>#VALUE!</v>
      </c>
      <c r="EH9" t="e">
        <f ca="1">Time!BB33+"VCW!?E"</f>
        <v>#VALUE!</v>
      </c>
      <c r="EI9" t="e">
        <f ca="1">Time!BC33+"VCW!?F"</f>
        <v>#VALUE!</v>
      </c>
      <c r="EJ9" t="e">
        <f ca="1">Time!BD33+"VCW!?G"</f>
        <v>#VALUE!</v>
      </c>
      <c r="EK9" t="e">
        <f ca="1">Time!BE33+"VCW!?H"</f>
        <v>#VALUE!</v>
      </c>
      <c r="EL9" t="e">
        <f ca="1">Time!BF33+"VCW!?I"</f>
        <v>#VALUE!</v>
      </c>
      <c r="EM9" t="e">
        <f ca="1">Time!BG33+"VCW!?J"</f>
        <v>#VALUE!</v>
      </c>
      <c r="EN9" t="e">
        <f ca="1">Time!BH33+"VCW!?K"</f>
        <v>#VALUE!</v>
      </c>
      <c r="EO9" t="e">
        <f ca="1">Time!BI33+"VCW!?L"</f>
        <v>#VALUE!</v>
      </c>
      <c r="EP9" t="e">
        <f ca="1">Time!BJ33+"VCW!?M"</f>
        <v>#VALUE!</v>
      </c>
      <c r="EQ9" t="e">
        <f ca="1">Time!BK33+"VCW!?N"</f>
        <v>#VALUE!</v>
      </c>
      <c r="ER9" t="e">
        <f ca="1">Time!BL33+"VCW!?O"</f>
        <v>#VALUE!</v>
      </c>
      <c r="ES9" t="e">
        <f ca="1">Time!BM33+"VCW!?P"</f>
        <v>#VALUE!</v>
      </c>
      <c r="ET9" t="e">
        <f ca="1">Time!BN33+"VCW!?Q"</f>
        <v>#VALUE!</v>
      </c>
      <c r="EU9" t="e">
        <f ca="1">Time!BO33+"VCW!?R"</f>
        <v>#VALUE!</v>
      </c>
      <c r="EV9" t="e">
        <f ca="1">Time!BP33+"VCW!?S"</f>
        <v>#VALUE!</v>
      </c>
      <c r="EW9" t="e">
        <f ca="1">Time!BQ33+"VCW!?T"</f>
        <v>#VALUE!</v>
      </c>
      <c r="EX9" t="e">
        <f ca="1">Time!BR33+"VCW!?U"</f>
        <v>#VALUE!</v>
      </c>
      <c r="EY9" t="e">
        <f ca="1">Time!BS33+"VCW!?V"</f>
        <v>#VALUE!</v>
      </c>
      <c r="EZ9" t="e">
        <f ca="1">Time!BT33+"VCW!?W"</f>
        <v>#VALUE!</v>
      </c>
      <c r="FA9" t="e">
        <f ca="1">Time!BU33+"VCW!?X"</f>
        <v>#VALUE!</v>
      </c>
      <c r="FB9" t="e">
        <f ca="1">Time!BV33+"VCW!?Y"</f>
        <v>#VALUE!</v>
      </c>
      <c r="FC9" t="e">
        <f ca="1">Time!BW33+"VCW!?Z"</f>
        <v>#VALUE!</v>
      </c>
      <c r="FD9" t="e">
        <f ca="1">Time!BX33+"VCW!?["</f>
        <v>#VALUE!</v>
      </c>
      <c r="FE9" t="e">
        <f ca="1">Time!BY33+"VCW!?\"</f>
        <v>#VALUE!</v>
      </c>
      <c r="FF9" t="e">
        <f ca="1">Time!A34+"VCW!?]"</f>
        <v>#VALUE!</v>
      </c>
      <c r="FG9" t="e">
        <f ca="1">Time!B34+"VCW!?^"</f>
        <v>#VALUE!</v>
      </c>
      <c r="FH9" t="e">
        <f ca="1">Time!C34+"VCW!?_"</f>
        <v>#VALUE!</v>
      </c>
      <c r="FI9" t="e">
        <f ca="1">Time!D34+"VCW!?`"</f>
        <v>#VALUE!</v>
      </c>
      <c r="FJ9" t="e">
        <f ca="1">Time!A35+"VCW!?a"</f>
        <v>#VALUE!</v>
      </c>
      <c r="FK9" t="e">
        <f ca="1">Time!B35+"VCW!?b"</f>
        <v>#VALUE!</v>
      </c>
      <c r="FL9" t="e">
        <f ca="1">Time!C35+"VCW!?c"</f>
        <v>#VALUE!</v>
      </c>
      <c r="FM9" t="e">
        <f ca="1">Time!D35+"VCW!?d"</f>
        <v>#VALUE!</v>
      </c>
      <c r="FN9" t="e">
        <f ca="1">Time!A36+"VCW!?e"</f>
        <v>#VALUE!</v>
      </c>
      <c r="FO9" t="e">
        <f ca="1">Time!B36+"VCW!?f"</f>
        <v>#VALUE!</v>
      </c>
      <c r="FP9" t="e">
        <f ca="1">Time!C36+"VCW!?g"</f>
        <v>#VALUE!</v>
      </c>
      <c r="FQ9" t="e">
        <f ca="1">Time!D36+"VCW!?h"</f>
        <v>#VALUE!</v>
      </c>
      <c r="FR9" t="e">
        <f ca="1">Time!E36+"VCW!?i"</f>
        <v>#VALUE!</v>
      </c>
      <c r="FS9" t="e">
        <f ca="1">Time!F36+"VCW!?j"</f>
        <v>#VALUE!</v>
      </c>
      <c r="FT9" t="e">
        <f ca="1">Time!G36+"VCW!?k"</f>
        <v>#VALUE!</v>
      </c>
      <c r="FU9" t="e">
        <f ca="1">Time!A37+"VCW!?l"</f>
        <v>#VALUE!</v>
      </c>
      <c r="FV9" t="e">
        <f ca="1">Time!B37+"VCW!?m"</f>
        <v>#VALUE!</v>
      </c>
      <c r="FW9" t="e">
        <f ca="1">Time!C37+"VCW!?n"</f>
        <v>#VALUE!</v>
      </c>
      <c r="FX9" t="e">
        <f ca="1">Time!E37+"VCW!?o"</f>
        <v>#VALUE!</v>
      </c>
      <c r="FY9" t="e">
        <f ca="1">Time!F37+"VCW!?p"</f>
        <v>#VALUE!</v>
      </c>
      <c r="FZ9" t="e">
        <f ca="1">Time!G37+"VCW!?q"</f>
        <v>#VALUE!</v>
      </c>
      <c r="GA9" t="e">
        <f ca="1">Time!A38+"VCW!?r"</f>
        <v>#VALUE!</v>
      </c>
      <c r="GB9" t="e">
        <f ca="1">Time!B38+"VCW!?s"</f>
        <v>#VALUE!</v>
      </c>
      <c r="GC9" t="e">
        <f ca="1">Time!C38+"VCW!?t"</f>
        <v>#VALUE!</v>
      </c>
      <c r="GD9" t="e">
        <f ca="1">Time!D38+"VCW!?u"</f>
        <v>#VALUE!</v>
      </c>
      <c r="GE9" t="e">
        <f ca="1">Time!E38+"VCW!?v"</f>
        <v>#VALUE!</v>
      </c>
      <c r="GF9" t="e">
        <f ca="1">Time!F38+"VCW!?w"</f>
        <v>#VALUE!</v>
      </c>
      <c r="GG9" t="e">
        <f ca="1">Time!G38+"VCW!?x"</f>
        <v>#VALUE!</v>
      </c>
      <c r="GH9" t="e">
        <f ca="1">Time!A39+"VCW!?y"</f>
        <v>#VALUE!</v>
      </c>
      <c r="GI9" t="e">
        <f ca="1">Time!B39+"VCW!?z"</f>
        <v>#VALUE!</v>
      </c>
      <c r="GJ9" t="e">
        <f ca="1">Time!C39+"VCW!?{"</f>
        <v>#VALUE!</v>
      </c>
      <c r="GK9" t="e">
        <f ca="1">Time!A40+"VCW!?|"</f>
        <v>#VALUE!</v>
      </c>
      <c r="GL9" t="e">
        <f ca="1">Time!B40+"VCW!?}"</f>
        <v>#VALUE!</v>
      </c>
      <c r="GM9" t="e">
        <f ca="1">Time!C40+"VCW!?~"</f>
        <v>#VALUE!</v>
      </c>
      <c r="GN9" t="e">
        <f ca="1">Time!D40+"VCW!@#"</f>
        <v>#VALUE!</v>
      </c>
      <c r="GO9" t="e">
        <f ca="1">Time!E40+"VCW!@$"</f>
        <v>#VALUE!</v>
      </c>
      <c r="GP9" t="e">
        <f ca="1">Time!F40+"VCW!@%"</f>
        <v>#VALUE!</v>
      </c>
      <c r="GQ9" t="e">
        <f ca="1">Time!G40+"VCW!@&amp;"</f>
        <v>#VALUE!</v>
      </c>
      <c r="GR9" t="e">
        <f ca="1">Time!A41+"VCW!@'"</f>
        <v>#VALUE!</v>
      </c>
      <c r="GS9" t="e">
        <f ca="1">Time!B41+"VCW!@("</f>
        <v>#VALUE!</v>
      </c>
      <c r="GT9" t="e">
        <f ca="1">Time!C41+"VCW!@)"</f>
        <v>#VALUE!</v>
      </c>
      <c r="GU9" t="e">
        <f ca="1">Time!D41+"VCW!@."</f>
        <v>#VALUE!</v>
      </c>
      <c r="GV9" t="e">
        <f ca="1">Time!E41+"VCW!@/"</f>
        <v>#VALUE!</v>
      </c>
      <c r="GW9" t="e">
        <f ca="1">Time!F41+"VCW!@0"</f>
        <v>#VALUE!</v>
      </c>
      <c r="GX9" t="e">
        <f ca="1">Time!G41+"VCW!@1"</f>
        <v>#VALUE!</v>
      </c>
      <c r="GY9" t="e">
        <f ca="1">Time!A42+"VCW!@2"</f>
        <v>#VALUE!</v>
      </c>
      <c r="GZ9" t="e">
        <f ca="1">Time!B42+"VCW!@3"</f>
        <v>#VALUE!</v>
      </c>
      <c r="HA9" t="e">
        <f ca="1">Time!C42+"VCW!@4"</f>
        <v>#VALUE!</v>
      </c>
      <c r="HB9" t="e">
        <f ca="1">Time!D42+"VCW!@5"</f>
        <v>#VALUE!</v>
      </c>
      <c r="HC9" t="e">
        <f ca="1">Time!E42+"VCW!@6"</f>
        <v>#VALUE!</v>
      </c>
      <c r="HD9" t="e">
        <f ca="1">Time!F42+"VCW!@7"</f>
        <v>#VALUE!</v>
      </c>
      <c r="HE9" t="e">
        <f ca="1">Time!G42+"VCW!@8"</f>
        <v>#VALUE!</v>
      </c>
      <c r="HF9" t="e">
        <f ca="1">Time!H42+"VCW!@9"</f>
        <v>#VALUE!</v>
      </c>
      <c r="HG9" t="e">
        <f ca="1">Time!I42+"VCW!@:"</f>
        <v>#VALUE!</v>
      </c>
      <c r="HH9" t="e">
        <f ca="1">Time!J42+"VCW!@;"</f>
        <v>#VALUE!</v>
      </c>
      <c r="HI9" t="e">
        <f ca="1">Time!K42+"VCW!@&lt;"</f>
        <v>#VALUE!</v>
      </c>
      <c r="HJ9" t="e">
        <f ca="1">Time!L42+"VCW!@="</f>
        <v>#VALUE!</v>
      </c>
      <c r="HK9" t="e">
        <f ca="1">Time!M42+"VCW!@&gt;"</f>
        <v>#VALUE!</v>
      </c>
      <c r="HL9" t="e">
        <f ca="1">Time!N42+"VCW!@?"</f>
        <v>#VALUE!</v>
      </c>
      <c r="HM9" t="e">
        <f ca="1">Time!O42+"VCW!@@"</f>
        <v>#VALUE!</v>
      </c>
      <c r="HN9" t="e">
        <f ca="1">Time!P42+"VCW!@A"</f>
        <v>#VALUE!</v>
      </c>
      <c r="HO9" t="e">
        <f ca="1">Time!Q42+"VCW!@B"</f>
        <v>#VALUE!</v>
      </c>
      <c r="HP9" t="e">
        <f ca="1">Time!R42+"VCW!@C"</f>
        <v>#VALUE!</v>
      </c>
      <c r="HQ9" t="e">
        <f ca="1">Time!S42+"VCW!@D"</f>
        <v>#VALUE!</v>
      </c>
      <c r="HR9" t="e">
        <f ca="1">Time!T42+"VCW!@E"</f>
        <v>#VALUE!</v>
      </c>
      <c r="HS9" t="e">
        <f ca="1">Time!U42+"VCW!@F"</f>
        <v>#VALUE!</v>
      </c>
      <c r="HT9" t="e">
        <f ca="1">Time!V42+"VCW!@G"</f>
        <v>#VALUE!</v>
      </c>
      <c r="HU9" t="e">
        <f ca="1">Time!W42+"VCW!@H"</f>
        <v>#VALUE!</v>
      </c>
      <c r="HV9" t="e">
        <f ca="1">Time!X42+"VCW!@I"</f>
        <v>#VALUE!</v>
      </c>
      <c r="HW9" t="e">
        <f ca="1">Time!Y42+"VCW!@J"</f>
        <v>#VALUE!</v>
      </c>
      <c r="HX9" t="e">
        <f ca="1">Time!Z42+"VCW!@K"</f>
        <v>#VALUE!</v>
      </c>
      <c r="HY9" t="e">
        <f ca="1">Time!AA42+"VCW!@L"</f>
        <v>#VALUE!</v>
      </c>
      <c r="HZ9" t="e">
        <f ca="1">Time!AB42+"VCW!@M"</f>
        <v>#VALUE!</v>
      </c>
      <c r="IA9" t="e">
        <f ca="1">Time!AC42+"VCW!@N"</f>
        <v>#VALUE!</v>
      </c>
      <c r="IB9" t="e">
        <f ca="1">Time!AD42+"VCW!@O"</f>
        <v>#VALUE!</v>
      </c>
      <c r="IC9" t="e">
        <f ca="1">Time!AE42+"VCW!@P"</f>
        <v>#VALUE!</v>
      </c>
      <c r="ID9" t="e">
        <f ca="1">Time!AF42+"VCW!@Q"</f>
        <v>#VALUE!</v>
      </c>
      <c r="IE9" t="e">
        <f ca="1">Time!AG42+"VCW!@R"</f>
        <v>#VALUE!</v>
      </c>
      <c r="IF9" t="e">
        <f ca="1">Time!AH42+"VCW!@S"</f>
        <v>#VALUE!</v>
      </c>
      <c r="IG9" t="e">
        <f ca="1">Time!AI42+"VCW!@T"</f>
        <v>#VALUE!</v>
      </c>
      <c r="IH9" t="e">
        <f ca="1">Time!AJ42+"VCW!@U"</f>
        <v>#VALUE!</v>
      </c>
      <c r="II9" t="e">
        <f ca="1">Time!AK42+"VCW!@V"</f>
        <v>#VALUE!</v>
      </c>
      <c r="IJ9" t="e">
        <f ca="1">Time!AL42+"VCW!@W"</f>
        <v>#VALUE!</v>
      </c>
      <c r="IK9" t="e">
        <f ca="1">Time!AM42+"VCW!@X"</f>
        <v>#VALUE!</v>
      </c>
      <c r="IL9" t="e">
        <f ca="1">Time!AN42+"VCW!@Y"</f>
        <v>#VALUE!</v>
      </c>
      <c r="IM9" t="e">
        <f ca="1">Time!AO42+"VCW!@Z"</f>
        <v>#VALUE!</v>
      </c>
      <c r="IN9" t="e">
        <f ca="1">Time!AP42+"VCW!@["</f>
        <v>#VALUE!</v>
      </c>
      <c r="IO9" t="e">
        <f ca="1">Time!AQ42+"VCW!@\"</f>
        <v>#VALUE!</v>
      </c>
      <c r="IP9" t="e">
        <f ca="1">Time!AR42+"VCW!@]"</f>
        <v>#VALUE!</v>
      </c>
      <c r="IQ9" t="e">
        <f ca="1">Time!AS42+"VCW!@^"</f>
        <v>#VALUE!</v>
      </c>
      <c r="IR9" t="e">
        <f ca="1">Time!AT42+"VCW!@_"</f>
        <v>#VALUE!</v>
      </c>
      <c r="IS9" t="e">
        <f ca="1">Time!AU42+"VCW!@`"</f>
        <v>#VALUE!</v>
      </c>
      <c r="IT9" t="e">
        <f ca="1">Time!AV42+"VCW!@a"</f>
        <v>#VALUE!</v>
      </c>
      <c r="IU9" t="e">
        <f ca="1">Time!AW42+"VCW!@b"</f>
        <v>#VALUE!</v>
      </c>
      <c r="IV9" t="e">
        <f ca="1">Time!AX42+"VCW!@c"</f>
        <v>#VALUE!</v>
      </c>
    </row>
    <row r="10" spans="1:256" x14ac:dyDescent="0.2">
      <c r="F10" t="e">
        <f ca="1">Time!AY42+"VCW!@d"</f>
        <v>#VALUE!</v>
      </c>
      <c r="G10" t="e">
        <f ca="1">Time!AZ42+"VCW!@e"</f>
        <v>#VALUE!</v>
      </c>
      <c r="H10" t="e">
        <f ca="1">Time!BA42+"VCW!@f"</f>
        <v>#VALUE!</v>
      </c>
      <c r="I10" t="e">
        <f ca="1">Time!BB42+"VCW!@g"</f>
        <v>#VALUE!</v>
      </c>
      <c r="J10" t="e">
        <f ca="1">Time!BC42+"VCW!@h"</f>
        <v>#VALUE!</v>
      </c>
      <c r="K10" t="e">
        <f ca="1">Time!BD42+"VCW!@i"</f>
        <v>#VALUE!</v>
      </c>
      <c r="L10" t="e">
        <f ca="1">Time!BE42+"VCW!@j"</f>
        <v>#VALUE!</v>
      </c>
      <c r="M10" t="e">
        <f ca="1">Time!BF42+"VCW!@k"</f>
        <v>#VALUE!</v>
      </c>
      <c r="N10" t="e">
        <f ca="1">Time!BG42+"VCW!@l"</f>
        <v>#VALUE!</v>
      </c>
      <c r="O10" t="e">
        <f ca="1">Time!BH42+"VCW!@m"</f>
        <v>#VALUE!</v>
      </c>
      <c r="P10" t="e">
        <f ca="1">Time!BI42+"VCW!@n"</f>
        <v>#VALUE!</v>
      </c>
      <c r="Q10" t="e">
        <f ca="1">Time!BJ42+"VCW!@o"</f>
        <v>#VALUE!</v>
      </c>
      <c r="R10" t="e">
        <f ca="1">Time!BK42+"VCW!@p"</f>
        <v>#VALUE!</v>
      </c>
      <c r="S10" t="e">
        <f ca="1">Time!BL42+"VCW!@q"</f>
        <v>#VALUE!</v>
      </c>
      <c r="T10" t="e">
        <f ca="1">Time!BM42+"VCW!@r"</f>
        <v>#VALUE!</v>
      </c>
      <c r="U10" t="e">
        <f ca="1">Time!BN42+"VCW!@s"</f>
        <v>#VALUE!</v>
      </c>
      <c r="V10" t="e">
        <f ca="1">Time!BO42+"VCW!@t"</f>
        <v>#VALUE!</v>
      </c>
      <c r="W10" t="e">
        <f ca="1">Time!BP42+"VCW!@u"</f>
        <v>#VALUE!</v>
      </c>
      <c r="X10" t="e">
        <f ca="1">Time!BQ42+"VCW!@v"</f>
        <v>#VALUE!</v>
      </c>
      <c r="Y10" t="e">
        <f ca="1">Time!BR42+"VCW!@w"</f>
        <v>#VALUE!</v>
      </c>
      <c r="Z10" t="e">
        <f ca="1">Time!BS42+"VCW!@x"</f>
        <v>#VALUE!</v>
      </c>
      <c r="AA10" t="e">
        <f ca="1">Time!BT42+"VCW!@y"</f>
        <v>#VALUE!</v>
      </c>
      <c r="AB10" t="e">
        <f ca="1">Time!BU42+"VCW!@z"</f>
        <v>#VALUE!</v>
      </c>
      <c r="AC10" t="e">
        <f ca="1">Time!BV42+"VCW!@{"</f>
        <v>#VALUE!</v>
      </c>
      <c r="AD10" t="e">
        <f ca="1">Time!BW42+"VCW!@|"</f>
        <v>#VALUE!</v>
      </c>
      <c r="AE10" t="e">
        <f ca="1">Time!BX42+"VCW!@}"</f>
        <v>#VALUE!</v>
      </c>
      <c r="AF10" t="e">
        <f ca="1">Time!BY42+"VCW!@~"</f>
        <v>#VALUE!</v>
      </c>
      <c r="AG10" t="e">
        <f ca="1">Time!A43+"VCW!A#"</f>
        <v>#VALUE!</v>
      </c>
      <c r="AH10" t="e">
        <f ca="1">Time!B43+"VCW!A$"</f>
        <v>#VALUE!</v>
      </c>
      <c r="AI10" t="e">
        <f ca="1">Time!C43+"VCW!A%"</f>
        <v>#VALUE!</v>
      </c>
      <c r="AJ10" t="e">
        <f ca="1">Time!D43+"VCW!A&amp;"</f>
        <v>#VALUE!</v>
      </c>
      <c r="AK10" t="e">
        <f ca="1">Time!E43+"VCW!A'"</f>
        <v>#VALUE!</v>
      </c>
      <c r="AL10" t="e">
        <f ca="1">Time!G43+"VCW!A("</f>
        <v>#VALUE!</v>
      </c>
      <c r="AM10" t="e">
        <f ca="1">Time!H43+"VCW!A)"</f>
        <v>#VALUE!</v>
      </c>
      <c r="AN10" t="e">
        <f ca="1">Time!J43+"VCW!A."</f>
        <v>#VALUE!</v>
      </c>
      <c r="AO10" t="e">
        <f ca="1">Time!K43+"VCW!A/"</f>
        <v>#VALUE!</v>
      </c>
      <c r="AP10" t="e">
        <f ca="1">Time!L43+"VCW!A0"</f>
        <v>#VALUE!</v>
      </c>
      <c r="AQ10" t="e">
        <f ca="1">Time!M43+"VCW!A1"</f>
        <v>#VALUE!</v>
      </c>
      <c r="AR10" t="e">
        <f ca="1">Time!N43+"VCW!A2"</f>
        <v>#VALUE!</v>
      </c>
      <c r="AS10" t="e">
        <f ca="1">Time!O43+"VCW!A3"</f>
        <v>#VALUE!</v>
      </c>
      <c r="AT10" t="e">
        <f ca="1">Time!P43+"VCW!A4"</f>
        <v>#VALUE!</v>
      </c>
      <c r="AU10" t="e">
        <f ca="1">Time!Q43+"VCW!A5"</f>
        <v>#VALUE!</v>
      </c>
      <c r="AV10" t="e">
        <f ca="1">Time!R43+"VCW!A6"</f>
        <v>#VALUE!</v>
      </c>
      <c r="AW10" t="e">
        <f ca="1">Time!S43+"VCW!A7"</f>
        <v>#VALUE!</v>
      </c>
      <c r="AX10" t="e">
        <f ca="1">Time!T43+"VCW!A8"</f>
        <v>#VALUE!</v>
      </c>
      <c r="AY10" t="e">
        <f ca="1">Time!U43+"VCW!A9"</f>
        <v>#VALUE!</v>
      </c>
      <c r="AZ10" t="e">
        <f ca="1">Time!V43+"VCW!A:"</f>
        <v>#VALUE!</v>
      </c>
      <c r="BA10" t="e">
        <f ca="1">Time!W43+"VCW!A;"</f>
        <v>#VALUE!</v>
      </c>
      <c r="BB10" t="e">
        <f ca="1">Time!X43+"VCW!A&lt;"</f>
        <v>#VALUE!</v>
      </c>
      <c r="BC10" t="e">
        <f ca="1">Time!Y43+"VCW!A="</f>
        <v>#VALUE!</v>
      </c>
      <c r="BD10" t="e">
        <f ca="1">Time!Z43+"VCW!A&gt;"</f>
        <v>#VALUE!</v>
      </c>
      <c r="BE10" t="e">
        <f ca="1">Time!AA43+"VCW!A?"</f>
        <v>#VALUE!</v>
      </c>
      <c r="BF10" t="e">
        <f ca="1">Time!AB43+"VCW!A@"</f>
        <v>#VALUE!</v>
      </c>
      <c r="BG10" t="e">
        <f ca="1">Time!AC43+"VCW!AA"</f>
        <v>#VALUE!</v>
      </c>
      <c r="BH10" t="e">
        <f ca="1">Time!AD43+"VCW!AB"</f>
        <v>#VALUE!</v>
      </c>
      <c r="BI10" t="e">
        <f ca="1">Time!AE43+"VCW!AC"</f>
        <v>#VALUE!</v>
      </c>
      <c r="BJ10" t="e">
        <f ca="1">Time!AF43+"VCW!AD"</f>
        <v>#VALUE!</v>
      </c>
      <c r="BK10" t="e">
        <f ca="1">Time!AG43+"VCW!AE"</f>
        <v>#VALUE!</v>
      </c>
      <c r="BL10" t="e">
        <f ca="1">Time!AH43+"VCW!AF"</f>
        <v>#VALUE!</v>
      </c>
      <c r="BM10" t="e">
        <f ca="1">Time!AI43+"VCW!AG"</f>
        <v>#VALUE!</v>
      </c>
      <c r="BN10" t="e">
        <f ca="1">Time!AJ43+"VCW!AH"</f>
        <v>#VALUE!</v>
      </c>
      <c r="BO10" t="e">
        <f ca="1">Time!AK43+"VCW!AI"</f>
        <v>#VALUE!</v>
      </c>
      <c r="BP10" t="e">
        <f ca="1">Time!AL43+"VCW!AJ"</f>
        <v>#VALUE!</v>
      </c>
      <c r="BQ10" t="e">
        <f ca="1">Time!AM43+"VCW!AK"</f>
        <v>#VALUE!</v>
      </c>
      <c r="BR10" t="e">
        <f ca="1">Time!AN43+"VCW!AL"</f>
        <v>#VALUE!</v>
      </c>
      <c r="BS10" t="e">
        <f ca="1">Time!AO43+"VCW!AM"</f>
        <v>#VALUE!</v>
      </c>
      <c r="BT10" t="e">
        <f ca="1">Time!AP43+"VCW!AN"</f>
        <v>#VALUE!</v>
      </c>
      <c r="BU10" t="e">
        <f ca="1">Time!AQ43+"VCW!AO"</f>
        <v>#VALUE!</v>
      </c>
      <c r="BV10" t="e">
        <f ca="1">Time!AR43+"VCW!AP"</f>
        <v>#VALUE!</v>
      </c>
      <c r="BW10" t="e">
        <f ca="1">Time!AS43+"VCW!AQ"</f>
        <v>#VALUE!</v>
      </c>
      <c r="BX10" t="e">
        <f ca="1">Time!AT43+"VCW!AR"</f>
        <v>#VALUE!</v>
      </c>
      <c r="BY10" t="e">
        <f ca="1">Time!AU43+"VCW!AS"</f>
        <v>#VALUE!</v>
      </c>
      <c r="BZ10" t="e">
        <f ca="1">Time!AV43+"VCW!AT"</f>
        <v>#VALUE!</v>
      </c>
      <c r="CA10" t="e">
        <f ca="1">Time!AW43+"VCW!AU"</f>
        <v>#VALUE!</v>
      </c>
      <c r="CB10" t="e">
        <f ca="1">Time!AX43+"VCW!AV"</f>
        <v>#VALUE!</v>
      </c>
      <c r="CC10" t="e">
        <f ca="1">Time!AY43+"VCW!AW"</f>
        <v>#VALUE!</v>
      </c>
      <c r="CD10" t="e">
        <f ca="1">Time!AZ43+"VCW!AX"</f>
        <v>#VALUE!</v>
      </c>
      <c r="CE10" t="e">
        <f ca="1">Time!BA43+"VCW!AY"</f>
        <v>#VALUE!</v>
      </c>
      <c r="CF10" t="e">
        <f ca="1">Time!BB43+"VCW!AZ"</f>
        <v>#VALUE!</v>
      </c>
      <c r="CG10" t="e">
        <f ca="1">Time!BC43+"VCW!A["</f>
        <v>#VALUE!</v>
      </c>
      <c r="CH10" t="e">
        <f ca="1">Time!BD43+"VCW!A\"</f>
        <v>#VALUE!</v>
      </c>
      <c r="CI10" t="e">
        <f ca="1">Time!BE43+"VCW!A]"</f>
        <v>#VALUE!</v>
      </c>
      <c r="CJ10" t="e">
        <f ca="1">Time!BF43+"VCW!A^"</f>
        <v>#VALUE!</v>
      </c>
      <c r="CK10" t="e">
        <f ca="1">Time!BG43+"VCW!A_"</f>
        <v>#VALUE!</v>
      </c>
      <c r="CL10" t="e">
        <f ca="1">Time!BH43+"VCW!A`"</f>
        <v>#VALUE!</v>
      </c>
      <c r="CM10" t="e">
        <f ca="1">Time!BI43+"VCW!Aa"</f>
        <v>#VALUE!</v>
      </c>
      <c r="CN10" t="e">
        <f ca="1">Time!BJ43+"VCW!Ab"</f>
        <v>#VALUE!</v>
      </c>
      <c r="CO10" t="e">
        <f ca="1">Time!BK43+"VCW!Ac"</f>
        <v>#VALUE!</v>
      </c>
      <c r="CP10" t="e">
        <f ca="1">Time!BL43+"VCW!Ad"</f>
        <v>#VALUE!</v>
      </c>
      <c r="CQ10" t="e">
        <f ca="1">Time!BM43+"VCW!Ae"</f>
        <v>#VALUE!</v>
      </c>
      <c r="CR10" t="e">
        <f ca="1">Time!BN43+"VCW!Af"</f>
        <v>#VALUE!</v>
      </c>
      <c r="CS10" t="e">
        <f ca="1">Time!BO43+"VCW!Ag"</f>
        <v>#VALUE!</v>
      </c>
      <c r="CT10" t="e">
        <f ca="1">Time!BP43+"VCW!Ah"</f>
        <v>#VALUE!</v>
      </c>
      <c r="CU10" t="e">
        <f ca="1">Time!BQ43+"VCW!Ai"</f>
        <v>#VALUE!</v>
      </c>
      <c r="CV10" t="e">
        <f ca="1">Time!BR43+"VCW!Aj"</f>
        <v>#VALUE!</v>
      </c>
      <c r="CW10" t="e">
        <f ca="1">Time!BS43+"VCW!Ak"</f>
        <v>#VALUE!</v>
      </c>
      <c r="CX10" t="e">
        <f ca="1">Time!BT43+"VCW!Al"</f>
        <v>#VALUE!</v>
      </c>
      <c r="CY10" t="e">
        <f ca="1">Time!BU43+"VCW!Am"</f>
        <v>#VALUE!</v>
      </c>
      <c r="CZ10" t="e">
        <f ca="1">Time!BV43+"VCW!An"</f>
        <v>#VALUE!</v>
      </c>
      <c r="DA10" t="e">
        <f ca="1">Time!BW43+"VCW!Ao"</f>
        <v>#VALUE!</v>
      </c>
      <c r="DB10" t="e">
        <f ca="1">Time!BX43+"VCW!Ap"</f>
        <v>#VALUE!</v>
      </c>
      <c r="DC10" t="e">
        <f ca="1">Time!BY43+"VCW!Aq"</f>
        <v>#VALUE!</v>
      </c>
      <c r="DD10" t="e">
        <f ca="1">Time!A44+"VCW!Ar"</f>
        <v>#VALUE!</v>
      </c>
      <c r="DE10" t="e">
        <f ca="1">Time!B44+"VCW!As"</f>
        <v>#VALUE!</v>
      </c>
      <c r="DF10" t="e">
        <f ca="1">Time!C44+"VCW!At"</f>
        <v>#VALUE!</v>
      </c>
      <c r="DG10" t="e">
        <f ca="1">Time!D44+"VCW!Au"</f>
        <v>#VALUE!</v>
      </c>
      <c r="DH10" t="e">
        <f ca="1">Time!A45+"VCW!Av"</f>
        <v>#VALUE!</v>
      </c>
      <c r="DI10" t="e">
        <f ca="1">Time!B45+"VCW!Aw"</f>
        <v>#VALUE!</v>
      </c>
      <c r="DJ10" t="e">
        <f ca="1">Time!C45+"VCW!Ax"</f>
        <v>#VALUE!</v>
      </c>
      <c r="DK10" t="e">
        <f ca="1">Time!D45+"VCW!Ay"</f>
        <v>#VALUE!</v>
      </c>
      <c r="DL10" t="e">
        <f ca="1">Time!A46+"VCW!Az"</f>
        <v>#VALUE!</v>
      </c>
      <c r="DM10" t="e">
        <f ca="1">Time!B46+"VCW!A{"</f>
        <v>#VALUE!</v>
      </c>
      <c r="DN10" t="e">
        <f ca="1">Time!C46+"VCW!A|"</f>
        <v>#VALUE!</v>
      </c>
      <c r="DO10" t="e">
        <f ca="1">Time!D46+"VCW!A}"</f>
        <v>#VALUE!</v>
      </c>
      <c r="DP10" t="e">
        <f ca="1">Time!E46+"VCW!A~"</f>
        <v>#VALUE!</v>
      </c>
      <c r="DQ10" t="e">
        <f ca="1">Time!F46+"VCW!B#"</f>
        <v>#VALUE!</v>
      </c>
      <c r="DR10" t="e">
        <f ca="1">Time!G46+"VCW!B$"</f>
        <v>#VALUE!</v>
      </c>
      <c r="DS10" t="e">
        <f ca="1">Time!A47+"VCW!B%"</f>
        <v>#VALUE!</v>
      </c>
      <c r="DT10" t="e">
        <f ca="1">Time!B47+"VCW!B&amp;"</f>
        <v>#VALUE!</v>
      </c>
      <c r="DU10" t="e">
        <f ca="1">Time!C47+"VCW!B'"</f>
        <v>#VALUE!</v>
      </c>
      <c r="DV10" t="e">
        <f ca="1">Time!D47+"VCW!B("</f>
        <v>#VALUE!</v>
      </c>
      <c r="DW10" t="e">
        <f ca="1">Time!E47+"VCW!B)"</f>
        <v>#VALUE!</v>
      </c>
      <c r="DX10" t="e">
        <f ca="1">Time!F47+"VCW!B."</f>
        <v>#VALUE!</v>
      </c>
      <c r="DY10" t="e">
        <f ca="1">Time!G47+"VCW!B/"</f>
        <v>#VALUE!</v>
      </c>
      <c r="DZ10" t="e">
        <f ca="1">Time!H47+"VCW!B0"</f>
        <v>#VALUE!</v>
      </c>
      <c r="EA10" t="e">
        <f ca="1">Time!I47+"VCW!B1"</f>
        <v>#VALUE!</v>
      </c>
      <c r="EB10" t="e">
        <f ca="1">Time!J47+"VCW!B2"</f>
        <v>#VALUE!</v>
      </c>
      <c r="EC10" t="e">
        <f ca="1">Time!K47+"VCW!B3"</f>
        <v>#VALUE!</v>
      </c>
      <c r="ED10" t="e">
        <f ca="1">Time!L47+"VCW!B4"</f>
        <v>#VALUE!</v>
      </c>
      <c r="EE10" t="e">
        <f ca="1">Time!M47+"VCW!B5"</f>
        <v>#VALUE!</v>
      </c>
      <c r="EF10" t="e">
        <f ca="1">Time!N47+"VCW!B6"</f>
        <v>#VALUE!</v>
      </c>
      <c r="EG10" t="e">
        <f ca="1">Time!O47+"VCW!B7"</f>
        <v>#VALUE!</v>
      </c>
      <c r="EH10" t="e">
        <f ca="1">Time!P47+"VCW!B8"</f>
        <v>#VALUE!</v>
      </c>
      <c r="EI10" t="e">
        <f ca="1">Time!Q47+"VCW!B9"</f>
        <v>#VALUE!</v>
      </c>
      <c r="EJ10" t="e">
        <f ca="1">Time!R47+"VCW!B:"</f>
        <v>#VALUE!</v>
      </c>
      <c r="EK10" t="e">
        <f ca="1">Time!S47+"VCW!B;"</f>
        <v>#VALUE!</v>
      </c>
      <c r="EL10" t="e">
        <f ca="1">Time!T47+"VCW!B&lt;"</f>
        <v>#VALUE!</v>
      </c>
      <c r="EM10" t="e">
        <f ca="1">Time!U47+"VCW!B="</f>
        <v>#VALUE!</v>
      </c>
      <c r="EN10" t="e">
        <f ca="1">Time!V47+"VCW!B&gt;"</f>
        <v>#VALUE!</v>
      </c>
      <c r="EO10" t="e">
        <f ca="1">Time!W47+"VCW!B?"</f>
        <v>#VALUE!</v>
      </c>
      <c r="EP10" t="e">
        <f ca="1">Time!X47+"VCW!B@"</f>
        <v>#VALUE!</v>
      </c>
      <c r="EQ10" t="e">
        <f ca="1">Time!Y47+"VCW!BA"</f>
        <v>#VALUE!</v>
      </c>
      <c r="ER10" t="e">
        <f ca="1">Time!Z47+"VCW!BB"</f>
        <v>#VALUE!</v>
      </c>
      <c r="ES10" t="e">
        <f ca="1">Time!AA47+"VCW!BC"</f>
        <v>#VALUE!</v>
      </c>
      <c r="ET10" t="e">
        <f ca="1">Time!AB47+"VCW!BD"</f>
        <v>#VALUE!</v>
      </c>
      <c r="EU10" t="e">
        <f ca="1">Time!AC47+"VCW!BE"</f>
        <v>#VALUE!</v>
      </c>
      <c r="EV10" t="e">
        <f ca="1">Time!AD47+"VCW!BF"</f>
        <v>#VALUE!</v>
      </c>
      <c r="EW10" t="e">
        <f ca="1">Time!AE47+"VCW!BG"</f>
        <v>#VALUE!</v>
      </c>
      <c r="EX10" t="e">
        <f ca="1">Time!AF47+"VCW!BH"</f>
        <v>#VALUE!</v>
      </c>
      <c r="EY10" t="e">
        <f ca="1">Time!AG47+"VCW!BI"</f>
        <v>#VALUE!</v>
      </c>
      <c r="EZ10" t="e">
        <f ca="1">Time!AH47+"VCW!BJ"</f>
        <v>#VALUE!</v>
      </c>
      <c r="FA10" t="e">
        <f ca="1">Time!AI47+"VCW!BK"</f>
        <v>#VALUE!</v>
      </c>
      <c r="FB10" t="e">
        <f ca="1">Time!AJ47+"VCW!BL"</f>
        <v>#VALUE!</v>
      </c>
      <c r="FC10" t="e">
        <f ca="1">Time!AK47+"VCW!BM"</f>
        <v>#VALUE!</v>
      </c>
      <c r="FD10" t="e">
        <f ca="1">Time!AL47+"VCW!BN"</f>
        <v>#VALUE!</v>
      </c>
      <c r="FE10" t="e">
        <f ca="1">Time!AM47+"VCW!BO"</f>
        <v>#VALUE!</v>
      </c>
      <c r="FF10" t="e">
        <f ca="1">Time!AN47+"VCW!BP"</f>
        <v>#VALUE!</v>
      </c>
      <c r="FG10" t="e">
        <f ca="1">Time!AO47+"VCW!BQ"</f>
        <v>#VALUE!</v>
      </c>
      <c r="FH10" t="e">
        <f ca="1">Time!AP47+"VCW!BR"</f>
        <v>#VALUE!</v>
      </c>
      <c r="FI10" t="e">
        <f ca="1">Time!AQ47+"VCW!BS"</f>
        <v>#VALUE!</v>
      </c>
      <c r="FJ10" t="e">
        <f ca="1">Time!AR47+"VCW!BT"</f>
        <v>#VALUE!</v>
      </c>
      <c r="FK10" t="e">
        <f ca="1">Time!AS47+"VCW!BU"</f>
        <v>#VALUE!</v>
      </c>
      <c r="FL10" t="e">
        <f ca="1">Time!AT47+"VCW!BV"</f>
        <v>#VALUE!</v>
      </c>
      <c r="FM10" t="e">
        <f ca="1">Time!AU47+"VCW!BW"</f>
        <v>#VALUE!</v>
      </c>
      <c r="FN10" t="e">
        <f ca="1">Time!AV47+"VCW!BX"</f>
        <v>#VALUE!</v>
      </c>
      <c r="FO10" t="e">
        <f ca="1">Time!AW47+"VCW!BY"</f>
        <v>#VALUE!</v>
      </c>
      <c r="FP10" t="e">
        <f ca="1">Time!AX47+"VCW!BZ"</f>
        <v>#VALUE!</v>
      </c>
      <c r="FQ10" t="e">
        <f ca="1">Time!AY47+"VCW!B["</f>
        <v>#VALUE!</v>
      </c>
      <c r="FR10" t="e">
        <f ca="1">Time!AZ47+"VCW!B\"</f>
        <v>#VALUE!</v>
      </c>
      <c r="FS10" t="e">
        <f ca="1">Time!BA47+"VCW!B]"</f>
        <v>#VALUE!</v>
      </c>
      <c r="FT10" t="e">
        <f ca="1">Time!BB47+"VCW!B^"</f>
        <v>#VALUE!</v>
      </c>
      <c r="FU10" t="e">
        <f ca="1">Time!BC47+"VCW!B_"</f>
        <v>#VALUE!</v>
      </c>
      <c r="FV10" t="e">
        <f ca="1">Time!BD47+"VCW!B`"</f>
        <v>#VALUE!</v>
      </c>
      <c r="FW10" t="e">
        <f ca="1">Time!BE47+"VCW!Ba"</f>
        <v>#VALUE!</v>
      </c>
      <c r="FX10" t="e">
        <f ca="1">Time!BF47+"VCW!Bb"</f>
        <v>#VALUE!</v>
      </c>
      <c r="FY10" t="e">
        <f ca="1">Time!BG47+"VCW!Bc"</f>
        <v>#VALUE!</v>
      </c>
      <c r="FZ10" t="e">
        <f ca="1">Time!BH47+"VCW!Bd"</f>
        <v>#VALUE!</v>
      </c>
      <c r="GA10" t="e">
        <f ca="1">Time!BI47+"VCW!Be"</f>
        <v>#VALUE!</v>
      </c>
      <c r="GB10" t="e">
        <f ca="1">Time!BJ47+"VCW!Bf"</f>
        <v>#VALUE!</v>
      </c>
      <c r="GC10" t="e">
        <f ca="1">Time!BK47+"VCW!Bg"</f>
        <v>#VALUE!</v>
      </c>
      <c r="GD10" t="e">
        <f ca="1">Time!BL47+"VCW!Bh"</f>
        <v>#VALUE!</v>
      </c>
      <c r="GE10" t="e">
        <f ca="1">Time!BM47+"VCW!Bi"</f>
        <v>#VALUE!</v>
      </c>
      <c r="GF10" t="e">
        <f ca="1">Time!BN47+"VCW!Bj"</f>
        <v>#VALUE!</v>
      </c>
      <c r="GG10" t="e">
        <f ca="1">Time!BO47+"VCW!Bk"</f>
        <v>#VALUE!</v>
      </c>
      <c r="GH10" t="e">
        <f ca="1">Time!BP47+"VCW!Bl"</f>
        <v>#VALUE!</v>
      </c>
      <c r="GI10" t="e">
        <f ca="1">Time!BQ47+"VCW!Bm"</f>
        <v>#VALUE!</v>
      </c>
      <c r="GJ10" t="e">
        <f ca="1">Time!BR47+"VCW!Bn"</f>
        <v>#VALUE!</v>
      </c>
      <c r="GK10" t="e">
        <f ca="1">Time!BS47+"VCW!Bo"</f>
        <v>#VALUE!</v>
      </c>
      <c r="GL10" t="e">
        <f ca="1">Time!BT47+"VCW!Bp"</f>
        <v>#VALUE!</v>
      </c>
      <c r="GM10" t="e">
        <f ca="1">Time!BU47+"VCW!Bq"</f>
        <v>#VALUE!</v>
      </c>
      <c r="GN10" t="e">
        <f ca="1">Time!BV47+"VCW!Br"</f>
        <v>#VALUE!</v>
      </c>
      <c r="GO10" t="e">
        <f ca="1">Time!BW47+"VCW!Bs"</f>
        <v>#VALUE!</v>
      </c>
      <c r="GP10" t="e">
        <f ca="1">Time!BX47+"VCW!Bt"</f>
        <v>#VALUE!</v>
      </c>
      <c r="GQ10" t="e">
        <f ca="1">Time!BY47+"VCW!Bu"</f>
        <v>#VALUE!</v>
      </c>
      <c r="GR10" t="e">
        <f ca="1">Time!A48+"VCW!Bv"</f>
        <v>#VALUE!</v>
      </c>
      <c r="GS10" t="e">
        <f ca="1">Time!B48+"VCW!Bw"</f>
        <v>#VALUE!</v>
      </c>
      <c r="GT10" t="e">
        <f ca="1">Time!C48+"VCW!Bx"</f>
        <v>#VALUE!</v>
      </c>
      <c r="GU10" t="e">
        <f ca="1">Time!E48+"VCW!By"</f>
        <v>#VALUE!</v>
      </c>
      <c r="GV10" t="e">
        <f ca="1">Time!F48+"VCW!Bz"</f>
        <v>#VALUE!</v>
      </c>
      <c r="GW10" t="e">
        <f ca="1">Time!G48+"VCW!B{"</f>
        <v>#VALUE!</v>
      </c>
      <c r="GX10" t="e">
        <f ca="1">Time!H48+"VCW!B|"</f>
        <v>#VALUE!</v>
      </c>
      <c r="GY10" t="e">
        <f ca="1">Time!J48+"VCW!B}"</f>
        <v>#VALUE!</v>
      </c>
      <c r="GZ10" t="e">
        <f ca="1">Time!K48+"VCW!B~"</f>
        <v>#VALUE!</v>
      </c>
      <c r="HA10" t="e">
        <f ca="1">Time!L48+"VCW!C#"</f>
        <v>#VALUE!</v>
      </c>
      <c r="HB10" t="e">
        <f ca="1">Time!M48+"VCW!C$"</f>
        <v>#VALUE!</v>
      </c>
      <c r="HC10" t="e">
        <f ca="1">Time!N48+"VCW!C%"</f>
        <v>#VALUE!</v>
      </c>
      <c r="HD10" t="e">
        <f ca="1">Time!O48+"VCW!C&amp;"</f>
        <v>#VALUE!</v>
      </c>
      <c r="HE10" t="e">
        <f ca="1">Time!P48+"VCW!C'"</f>
        <v>#VALUE!</v>
      </c>
      <c r="HF10" t="e">
        <f ca="1">Time!Q48+"VCW!C("</f>
        <v>#VALUE!</v>
      </c>
      <c r="HG10" t="e">
        <f ca="1">Time!R48+"VCW!C)"</f>
        <v>#VALUE!</v>
      </c>
      <c r="HH10" t="e">
        <f ca="1">Time!S48+"VCW!C."</f>
        <v>#VALUE!</v>
      </c>
      <c r="HI10" t="e">
        <f ca="1">Time!T48+"VCW!C/"</f>
        <v>#VALUE!</v>
      </c>
      <c r="HJ10" t="e">
        <f ca="1">Time!U48+"VCW!C0"</f>
        <v>#VALUE!</v>
      </c>
      <c r="HK10" t="e">
        <f ca="1">Time!V48+"VCW!C1"</f>
        <v>#VALUE!</v>
      </c>
      <c r="HL10" t="e">
        <f ca="1">Time!W48+"VCW!C2"</f>
        <v>#VALUE!</v>
      </c>
      <c r="HM10" t="e">
        <f ca="1">Time!X48+"VCW!C3"</f>
        <v>#VALUE!</v>
      </c>
      <c r="HN10" t="e">
        <f ca="1">Time!Y48+"VCW!C4"</f>
        <v>#VALUE!</v>
      </c>
      <c r="HO10" t="e">
        <f ca="1">Time!Z48+"VCW!C5"</f>
        <v>#VALUE!</v>
      </c>
      <c r="HP10" t="e">
        <f ca="1">Time!AA48+"VCW!C6"</f>
        <v>#VALUE!</v>
      </c>
      <c r="HQ10" t="e">
        <f ca="1">Time!AB48+"VCW!C7"</f>
        <v>#VALUE!</v>
      </c>
      <c r="HR10" t="e">
        <f ca="1">Time!AC48+"VCW!C8"</f>
        <v>#VALUE!</v>
      </c>
      <c r="HS10" t="e">
        <f ca="1">Time!AD48+"VCW!C9"</f>
        <v>#VALUE!</v>
      </c>
      <c r="HT10" t="e">
        <f ca="1">Time!AE48+"VCW!C:"</f>
        <v>#VALUE!</v>
      </c>
      <c r="HU10" t="e">
        <f ca="1">Time!AF48+"VCW!C;"</f>
        <v>#VALUE!</v>
      </c>
      <c r="HV10" t="e">
        <f ca="1">Time!AG48+"VCW!C&lt;"</f>
        <v>#VALUE!</v>
      </c>
      <c r="HW10" t="e">
        <f ca="1">Time!AH48+"VCW!C="</f>
        <v>#VALUE!</v>
      </c>
      <c r="HX10" t="e">
        <f ca="1">Time!AI48+"VCW!C&gt;"</f>
        <v>#VALUE!</v>
      </c>
      <c r="HY10" t="e">
        <f ca="1">Time!AJ48+"VCW!C?"</f>
        <v>#VALUE!</v>
      </c>
      <c r="HZ10" t="e">
        <f ca="1">Time!AK48+"VCW!C@"</f>
        <v>#VALUE!</v>
      </c>
      <c r="IA10" t="e">
        <f ca="1">Time!AL48+"VCW!CA"</f>
        <v>#VALUE!</v>
      </c>
      <c r="IB10" t="e">
        <f ca="1">Time!AM48+"VCW!CB"</f>
        <v>#VALUE!</v>
      </c>
      <c r="IC10" t="e">
        <f ca="1">Time!AN48+"VCW!CC"</f>
        <v>#VALUE!</v>
      </c>
      <c r="ID10" t="e">
        <f ca="1">Time!AO48+"VCW!CD"</f>
        <v>#VALUE!</v>
      </c>
      <c r="IE10" t="e">
        <f ca="1">Time!AP48+"VCW!CE"</f>
        <v>#VALUE!</v>
      </c>
      <c r="IF10" t="e">
        <f ca="1">Time!AQ48+"VCW!CF"</f>
        <v>#VALUE!</v>
      </c>
      <c r="IG10" t="e">
        <f ca="1">Time!AR48+"VCW!CG"</f>
        <v>#VALUE!</v>
      </c>
      <c r="IH10" t="e">
        <f ca="1">Time!AS48+"VCW!CH"</f>
        <v>#VALUE!</v>
      </c>
      <c r="II10" t="e">
        <f ca="1">Time!AT48+"VCW!CI"</f>
        <v>#VALUE!</v>
      </c>
      <c r="IJ10" t="e">
        <f ca="1">Time!AU48+"VCW!CJ"</f>
        <v>#VALUE!</v>
      </c>
      <c r="IK10" t="e">
        <f ca="1">Time!AV48+"VCW!CK"</f>
        <v>#VALUE!</v>
      </c>
      <c r="IL10" t="e">
        <f ca="1">Time!AW48+"VCW!CL"</f>
        <v>#VALUE!</v>
      </c>
      <c r="IM10" t="e">
        <f ca="1">Time!AX48+"VCW!CM"</f>
        <v>#VALUE!</v>
      </c>
      <c r="IN10" t="e">
        <f ca="1">Time!AY48+"VCW!CN"</f>
        <v>#VALUE!</v>
      </c>
      <c r="IO10" t="e">
        <f ca="1">Time!AZ48+"VCW!CO"</f>
        <v>#VALUE!</v>
      </c>
      <c r="IP10" t="e">
        <f ca="1">Time!BA48+"VCW!CP"</f>
        <v>#VALUE!</v>
      </c>
      <c r="IQ10" t="e">
        <f ca="1">Time!BB48+"VCW!CQ"</f>
        <v>#VALUE!</v>
      </c>
      <c r="IR10" t="e">
        <f ca="1">Time!BC48+"VCW!CR"</f>
        <v>#VALUE!</v>
      </c>
      <c r="IS10" t="e">
        <f ca="1">Time!BD48+"VCW!CS"</f>
        <v>#VALUE!</v>
      </c>
      <c r="IT10" t="e">
        <f ca="1">Time!BE48+"VCW!CT"</f>
        <v>#VALUE!</v>
      </c>
      <c r="IU10" t="e">
        <f ca="1">Time!BF48+"VCW!CU"</f>
        <v>#VALUE!</v>
      </c>
      <c r="IV10" t="e">
        <f ca="1">Time!BG48+"VCW!CV"</f>
        <v>#VALUE!</v>
      </c>
    </row>
    <row r="11" spans="1:256" x14ac:dyDescent="0.2">
      <c r="F11" t="e">
        <f ca="1">Time!BH48+"VCW!CW"</f>
        <v>#VALUE!</v>
      </c>
      <c r="G11" t="e">
        <f ca="1">Time!BI48+"VCW!CX"</f>
        <v>#VALUE!</v>
      </c>
      <c r="H11" t="e">
        <f ca="1">Time!BJ48+"VCW!CY"</f>
        <v>#VALUE!</v>
      </c>
      <c r="I11" t="e">
        <f ca="1">Time!BK48+"VCW!CZ"</f>
        <v>#VALUE!</v>
      </c>
      <c r="J11" t="e">
        <f ca="1">Time!BL48+"VCW!C["</f>
        <v>#VALUE!</v>
      </c>
      <c r="K11" t="e">
        <f ca="1">Time!BM48+"VCW!C\"</f>
        <v>#VALUE!</v>
      </c>
      <c r="L11" t="e">
        <f ca="1">Time!BN48+"VCW!C]"</f>
        <v>#VALUE!</v>
      </c>
      <c r="M11" t="e">
        <f ca="1">Time!BO48+"VCW!C^"</f>
        <v>#VALUE!</v>
      </c>
      <c r="N11" t="e">
        <f ca="1">Time!BP48+"VCW!C_"</f>
        <v>#VALUE!</v>
      </c>
      <c r="O11" t="e">
        <f ca="1">Time!BQ48+"VCW!C`"</f>
        <v>#VALUE!</v>
      </c>
      <c r="P11" t="e">
        <f ca="1">Time!BR48+"VCW!Ca"</f>
        <v>#VALUE!</v>
      </c>
      <c r="Q11" t="e">
        <f ca="1">Time!BS48+"VCW!Cb"</f>
        <v>#VALUE!</v>
      </c>
      <c r="R11" t="e">
        <f ca="1">Time!BT48+"VCW!Cc"</f>
        <v>#VALUE!</v>
      </c>
      <c r="S11" t="e">
        <f ca="1">Time!BU48+"VCW!Cd"</f>
        <v>#VALUE!</v>
      </c>
      <c r="T11" t="e">
        <f ca="1">Time!BV48+"VCW!Ce"</f>
        <v>#VALUE!</v>
      </c>
      <c r="U11" t="e">
        <f ca="1">Time!BW48+"VCW!Cf"</f>
        <v>#VALUE!</v>
      </c>
      <c r="V11" t="e">
        <f ca="1">Time!BX48+"VCW!Cg"</f>
        <v>#VALUE!</v>
      </c>
      <c r="W11" t="e">
        <f ca="1">Time!BY48+"VCW!Ch"</f>
        <v>#VALUE!</v>
      </c>
      <c r="X11" t="e">
        <f ca="1">Time!A49+"VCW!Ci"</f>
        <v>#VALUE!</v>
      </c>
      <c r="Y11" t="e">
        <f ca="1">Time!B49+"VCW!Cj"</f>
        <v>#VALUE!</v>
      </c>
      <c r="Z11" t="e">
        <f ca="1">Time!C49+"VCW!Ck"</f>
        <v>#VALUE!</v>
      </c>
      <c r="AA11" t="e">
        <f ca="1">Time!D49+"VCW!Cl"</f>
        <v>#VALUE!</v>
      </c>
      <c r="AB11" t="e">
        <f ca="1">Time!E49+"VCW!Cm"</f>
        <v>#VALUE!</v>
      </c>
      <c r="AC11" t="e">
        <f ca="1">Time!F49+"VCW!Cn"</f>
        <v>#VALUE!</v>
      </c>
      <c r="AD11" t="e">
        <f ca="1">Time!G49+"VCW!Co"</f>
        <v>#VALUE!</v>
      </c>
      <c r="AE11" t="e">
        <f ca="1">Time!H49+"VCW!Cp"</f>
        <v>#VALUE!</v>
      </c>
      <c r="AF11" t="e">
        <f ca="1">Time!I49+"VCW!Cq"</f>
        <v>#VALUE!</v>
      </c>
      <c r="AG11" t="e">
        <f ca="1">Time!J49+"VCW!Cr"</f>
        <v>#VALUE!</v>
      </c>
      <c r="AH11" t="e">
        <f ca="1">Time!K49+"VCW!Cs"</f>
        <v>#VALUE!</v>
      </c>
      <c r="AI11" t="e">
        <f ca="1">Time!L49+"VCW!Ct"</f>
        <v>#VALUE!</v>
      </c>
      <c r="AJ11" t="e">
        <f ca="1">Time!M49+"VCW!Cu"</f>
        <v>#VALUE!</v>
      </c>
      <c r="AK11" t="e">
        <f ca="1">Time!N49+"VCW!Cv"</f>
        <v>#VALUE!</v>
      </c>
      <c r="AL11" t="e">
        <f ca="1">Time!O49+"VCW!Cw"</f>
        <v>#VALUE!</v>
      </c>
      <c r="AM11" t="e">
        <f ca="1">Time!P49+"VCW!Cx"</f>
        <v>#VALUE!</v>
      </c>
      <c r="AN11" t="e">
        <f ca="1">Time!Q49+"VCW!Cy"</f>
        <v>#VALUE!</v>
      </c>
      <c r="AO11" t="e">
        <f ca="1">Time!R49+"VCW!Cz"</f>
        <v>#VALUE!</v>
      </c>
      <c r="AP11" t="e">
        <f ca="1">Time!S49+"VCW!C{"</f>
        <v>#VALUE!</v>
      </c>
      <c r="AQ11" t="e">
        <f ca="1">Time!T49+"VCW!C|"</f>
        <v>#VALUE!</v>
      </c>
      <c r="AR11" t="e">
        <f ca="1">Time!U49+"VCW!C}"</f>
        <v>#VALUE!</v>
      </c>
      <c r="AS11" t="e">
        <f ca="1">Time!V49+"VCW!C~"</f>
        <v>#VALUE!</v>
      </c>
      <c r="AT11" t="e">
        <f ca="1">Time!W49+"VCW!D#"</f>
        <v>#VALUE!</v>
      </c>
      <c r="AU11" t="e">
        <f ca="1">Time!X49+"VCW!D$"</f>
        <v>#VALUE!</v>
      </c>
      <c r="AV11" t="e">
        <f ca="1">Time!Y49+"VCW!D%"</f>
        <v>#VALUE!</v>
      </c>
      <c r="AW11" t="e">
        <f ca="1">Time!Z49+"VCW!D&amp;"</f>
        <v>#VALUE!</v>
      </c>
      <c r="AX11" t="e">
        <f ca="1">Time!AA49+"VCW!D'"</f>
        <v>#VALUE!</v>
      </c>
      <c r="AY11" t="e">
        <f ca="1">Time!AB49+"VCW!D("</f>
        <v>#VALUE!</v>
      </c>
      <c r="AZ11" t="e">
        <f ca="1">Time!AC49+"VCW!D)"</f>
        <v>#VALUE!</v>
      </c>
      <c r="BA11" t="e">
        <f ca="1">Time!AD49+"VCW!D."</f>
        <v>#VALUE!</v>
      </c>
      <c r="BB11" t="e">
        <f ca="1">Time!AE49+"VCW!D/"</f>
        <v>#VALUE!</v>
      </c>
      <c r="BC11" t="e">
        <f ca="1">Time!AF49+"VCW!D0"</f>
        <v>#VALUE!</v>
      </c>
      <c r="BD11" t="e">
        <f ca="1">Time!AG49+"VCW!D1"</f>
        <v>#VALUE!</v>
      </c>
      <c r="BE11" t="e">
        <f ca="1">Time!AH49+"VCW!D2"</f>
        <v>#VALUE!</v>
      </c>
      <c r="BF11" t="e">
        <f ca="1">Time!AI49+"VCW!D3"</f>
        <v>#VALUE!</v>
      </c>
      <c r="BG11" t="e">
        <f ca="1">Time!AJ49+"VCW!D4"</f>
        <v>#VALUE!</v>
      </c>
      <c r="BH11" t="e">
        <f ca="1">Time!AK49+"VCW!D5"</f>
        <v>#VALUE!</v>
      </c>
      <c r="BI11" t="e">
        <f ca="1">Time!AL49+"VCW!D6"</f>
        <v>#VALUE!</v>
      </c>
      <c r="BJ11" t="e">
        <f ca="1">Time!AM49+"VCW!D7"</f>
        <v>#VALUE!</v>
      </c>
      <c r="BK11" t="e">
        <f ca="1">Time!AN49+"VCW!D8"</f>
        <v>#VALUE!</v>
      </c>
      <c r="BL11" t="e">
        <f ca="1">Time!AO49+"VCW!D9"</f>
        <v>#VALUE!</v>
      </c>
      <c r="BM11" t="e">
        <f ca="1">Time!AP49+"VCW!D:"</f>
        <v>#VALUE!</v>
      </c>
      <c r="BN11" t="e">
        <f ca="1">Time!AQ49+"VCW!D;"</f>
        <v>#VALUE!</v>
      </c>
      <c r="BO11" t="e">
        <f ca="1">Time!AR49+"VCW!D&lt;"</f>
        <v>#VALUE!</v>
      </c>
      <c r="BP11" t="e">
        <f ca="1">Time!AS49+"VCW!D="</f>
        <v>#VALUE!</v>
      </c>
      <c r="BQ11" t="e">
        <f ca="1">Time!AT49+"VCW!D&gt;"</f>
        <v>#VALUE!</v>
      </c>
      <c r="BR11" t="e">
        <f ca="1">Time!AU49+"VCW!D?"</f>
        <v>#VALUE!</v>
      </c>
      <c r="BS11" t="e">
        <f ca="1">Time!AV49+"VCW!D@"</f>
        <v>#VALUE!</v>
      </c>
      <c r="BT11" t="e">
        <f ca="1">Time!AW49+"VCW!DA"</f>
        <v>#VALUE!</v>
      </c>
      <c r="BU11" t="e">
        <f ca="1">Time!AX49+"VCW!DB"</f>
        <v>#VALUE!</v>
      </c>
      <c r="BV11" t="e">
        <f ca="1">Time!AY49+"VCW!DC"</f>
        <v>#VALUE!</v>
      </c>
      <c r="BW11" t="e">
        <f ca="1">Time!AZ49+"VCW!DD"</f>
        <v>#VALUE!</v>
      </c>
      <c r="BX11" t="e">
        <f ca="1">Time!BA49+"VCW!DE"</f>
        <v>#VALUE!</v>
      </c>
      <c r="BY11" t="e">
        <f ca="1">Time!BB49+"VCW!DF"</f>
        <v>#VALUE!</v>
      </c>
      <c r="BZ11" t="e">
        <f ca="1">Time!BC49+"VCW!DG"</f>
        <v>#VALUE!</v>
      </c>
      <c r="CA11" t="e">
        <f ca="1">Time!BD49+"VCW!DH"</f>
        <v>#VALUE!</v>
      </c>
      <c r="CB11" t="e">
        <f ca="1">Time!BE49+"VCW!DI"</f>
        <v>#VALUE!</v>
      </c>
      <c r="CC11" t="e">
        <f ca="1">Time!BF49+"VCW!DJ"</f>
        <v>#VALUE!</v>
      </c>
      <c r="CD11" t="e">
        <f ca="1">Time!BG49+"VCW!DK"</f>
        <v>#VALUE!</v>
      </c>
      <c r="CE11" t="e">
        <f ca="1">Time!BH49+"VCW!DL"</f>
        <v>#VALUE!</v>
      </c>
      <c r="CF11" t="e">
        <f ca="1">Time!BI49+"VCW!DM"</f>
        <v>#VALUE!</v>
      </c>
      <c r="CG11" t="e">
        <f ca="1">Time!BJ49+"VCW!DN"</f>
        <v>#VALUE!</v>
      </c>
      <c r="CH11" t="e">
        <f ca="1">Time!BK49+"VCW!DO"</f>
        <v>#VALUE!</v>
      </c>
      <c r="CI11" t="e">
        <f ca="1">Time!BL49+"VCW!DP"</f>
        <v>#VALUE!</v>
      </c>
      <c r="CJ11" t="e">
        <f ca="1">Time!BM49+"VCW!DQ"</f>
        <v>#VALUE!</v>
      </c>
      <c r="CK11" t="e">
        <f ca="1">Time!BN49+"VCW!DR"</f>
        <v>#VALUE!</v>
      </c>
      <c r="CL11" t="e">
        <f ca="1">Time!BO49+"VCW!DS"</f>
        <v>#VALUE!</v>
      </c>
      <c r="CM11" t="e">
        <f ca="1">Time!BP49+"VCW!DT"</f>
        <v>#VALUE!</v>
      </c>
      <c r="CN11" t="e">
        <f ca="1">Time!BQ49+"VCW!DU"</f>
        <v>#VALUE!</v>
      </c>
      <c r="CO11" t="e">
        <f ca="1">Time!BR49+"VCW!DV"</f>
        <v>#VALUE!</v>
      </c>
      <c r="CP11" t="e">
        <f ca="1">Time!BS49+"VCW!DW"</f>
        <v>#VALUE!</v>
      </c>
      <c r="CQ11" t="e">
        <f ca="1">Time!BT49+"VCW!DX"</f>
        <v>#VALUE!</v>
      </c>
      <c r="CR11" t="e">
        <f ca="1">Time!BU49+"VCW!DY"</f>
        <v>#VALUE!</v>
      </c>
      <c r="CS11" t="e">
        <f ca="1">Time!BV49+"VCW!DZ"</f>
        <v>#VALUE!</v>
      </c>
      <c r="CT11" t="e">
        <f ca="1">Time!BW49+"VCW!D["</f>
        <v>#VALUE!</v>
      </c>
      <c r="CU11" t="e">
        <f ca="1">Time!BX49+"VCW!D\"</f>
        <v>#VALUE!</v>
      </c>
      <c r="CV11" t="e">
        <f ca="1">Time!BY49+"VCW!D]"</f>
        <v>#VALUE!</v>
      </c>
      <c r="CW11" t="e">
        <f ca="1">Time!A50+"VCW!D^"</f>
        <v>#VALUE!</v>
      </c>
      <c r="CX11" t="e">
        <f ca="1">Time!B50+"VCW!D_"</f>
        <v>#VALUE!</v>
      </c>
      <c r="CY11" t="e">
        <f ca="1">Time!C50+"VCW!D`"</f>
        <v>#VALUE!</v>
      </c>
      <c r="CZ11" t="e">
        <f ca="1">Time!D50+"VCW!Da"</f>
        <v>#VALUE!</v>
      </c>
      <c r="DA11" t="e">
        <f ca="1">Time!E50+"VCW!Db"</f>
        <v>#VALUE!</v>
      </c>
      <c r="DB11" t="e">
        <f ca="1">Time!F50+"VCW!Dc"</f>
        <v>#VALUE!</v>
      </c>
      <c r="DC11" t="e">
        <f ca="1">Time!G50+"VCW!Dd"</f>
        <v>#VALUE!</v>
      </c>
      <c r="DD11" t="e">
        <f ca="1">Time!H50+"VCW!De"</f>
        <v>#VALUE!</v>
      </c>
      <c r="DE11" t="e">
        <f ca="1">Time!I50+"VCW!Df"</f>
        <v>#VALUE!</v>
      </c>
      <c r="DF11" t="e">
        <f ca="1">Time!J50+"VCW!Dg"</f>
        <v>#VALUE!</v>
      </c>
      <c r="DG11" t="e">
        <f ca="1">Time!K50+"VCW!Dh"</f>
        <v>#VALUE!</v>
      </c>
      <c r="DH11" t="e">
        <f ca="1">Time!L50+"VCW!Di"</f>
        <v>#VALUE!</v>
      </c>
      <c r="DI11" t="e">
        <f ca="1">Time!M50+"VCW!Dj"</f>
        <v>#VALUE!</v>
      </c>
      <c r="DJ11" t="e">
        <f ca="1">Time!N50+"VCW!Dk"</f>
        <v>#VALUE!</v>
      </c>
      <c r="DK11" t="e">
        <f ca="1">Time!O50+"VCW!Dl"</f>
        <v>#VALUE!</v>
      </c>
      <c r="DL11" t="e">
        <f ca="1">Time!P50+"VCW!Dm"</f>
        <v>#VALUE!</v>
      </c>
      <c r="DM11" t="e">
        <f ca="1">Time!Q50+"VCW!Dn"</f>
        <v>#VALUE!</v>
      </c>
      <c r="DN11" t="e">
        <f ca="1">Time!R50+"VCW!Do"</f>
        <v>#VALUE!</v>
      </c>
      <c r="DO11" t="e">
        <f ca="1">Time!S50+"VCW!Dp"</f>
        <v>#VALUE!</v>
      </c>
      <c r="DP11" t="e">
        <f ca="1">Time!T50+"VCW!Dq"</f>
        <v>#VALUE!</v>
      </c>
      <c r="DQ11" t="e">
        <f ca="1">Time!U50+"VCW!Dr"</f>
        <v>#VALUE!</v>
      </c>
      <c r="DR11" t="e">
        <f ca="1">Time!V50+"VCW!Ds"</f>
        <v>#VALUE!</v>
      </c>
      <c r="DS11" t="e">
        <f ca="1">Time!W50+"VCW!Dt"</f>
        <v>#VALUE!</v>
      </c>
      <c r="DT11" t="e">
        <f ca="1">Time!X50+"VCW!Du"</f>
        <v>#VALUE!</v>
      </c>
      <c r="DU11" t="e">
        <f ca="1">Time!Y50+"VCW!Dv"</f>
        <v>#VALUE!</v>
      </c>
      <c r="DV11" t="e">
        <f ca="1">Time!Z50+"VCW!Dw"</f>
        <v>#VALUE!</v>
      </c>
      <c r="DW11" t="e">
        <f ca="1">Time!AA50+"VCW!Dx"</f>
        <v>#VALUE!</v>
      </c>
      <c r="DX11" t="e">
        <f ca="1">Time!AB50+"VCW!Dy"</f>
        <v>#VALUE!</v>
      </c>
      <c r="DY11" t="e">
        <f ca="1">Time!AC50+"VCW!Dz"</f>
        <v>#VALUE!</v>
      </c>
      <c r="DZ11" t="e">
        <f ca="1">Time!AD50+"VCW!D{"</f>
        <v>#VALUE!</v>
      </c>
      <c r="EA11" t="e">
        <f ca="1">Time!AE50+"VCW!D|"</f>
        <v>#VALUE!</v>
      </c>
      <c r="EB11" t="e">
        <f ca="1">Time!AF50+"VCW!D}"</f>
        <v>#VALUE!</v>
      </c>
      <c r="EC11" t="e">
        <f ca="1">Time!AG50+"VCW!D~"</f>
        <v>#VALUE!</v>
      </c>
      <c r="ED11" t="e">
        <f ca="1">Time!AH50+"VCW!E#"</f>
        <v>#VALUE!</v>
      </c>
      <c r="EE11" t="e">
        <f ca="1">Time!AI50+"VCW!E$"</f>
        <v>#VALUE!</v>
      </c>
      <c r="EF11" t="e">
        <f ca="1">Time!AJ50+"VCW!E%"</f>
        <v>#VALUE!</v>
      </c>
      <c r="EG11" t="e">
        <f ca="1">Time!AK50+"VCW!E&amp;"</f>
        <v>#VALUE!</v>
      </c>
      <c r="EH11" t="e">
        <f ca="1">Time!AL50+"VCW!E'"</f>
        <v>#VALUE!</v>
      </c>
      <c r="EI11" t="e">
        <f ca="1">Time!AM50+"VCW!E("</f>
        <v>#VALUE!</v>
      </c>
      <c r="EJ11" t="e">
        <f ca="1">Time!AN50+"VCW!E)"</f>
        <v>#VALUE!</v>
      </c>
      <c r="EK11" t="e">
        <f ca="1">Time!AO50+"VCW!E."</f>
        <v>#VALUE!</v>
      </c>
      <c r="EL11" t="e">
        <f ca="1">Time!AP50+"VCW!E/"</f>
        <v>#VALUE!</v>
      </c>
      <c r="EM11" t="e">
        <f ca="1">Time!AQ50+"VCW!E0"</f>
        <v>#VALUE!</v>
      </c>
      <c r="EN11" t="e">
        <f ca="1">Time!AR50+"VCW!E1"</f>
        <v>#VALUE!</v>
      </c>
      <c r="EO11" t="e">
        <f ca="1">Time!AS50+"VCW!E2"</f>
        <v>#VALUE!</v>
      </c>
      <c r="EP11" t="e">
        <f ca="1">Time!AT50+"VCW!E3"</f>
        <v>#VALUE!</v>
      </c>
      <c r="EQ11" t="e">
        <f ca="1">Time!AU50+"VCW!E4"</f>
        <v>#VALUE!</v>
      </c>
      <c r="ER11" t="e">
        <f ca="1">Time!AV50+"VCW!E5"</f>
        <v>#VALUE!</v>
      </c>
      <c r="ES11" t="e">
        <f ca="1">Time!AW50+"VCW!E6"</f>
        <v>#VALUE!</v>
      </c>
      <c r="ET11" t="e">
        <f ca="1">Time!AX50+"VCW!E7"</f>
        <v>#VALUE!</v>
      </c>
      <c r="EU11" t="e">
        <f ca="1">Time!AY50+"VCW!E8"</f>
        <v>#VALUE!</v>
      </c>
      <c r="EV11" t="e">
        <f ca="1">Time!AZ50+"VCW!E9"</f>
        <v>#VALUE!</v>
      </c>
      <c r="EW11" t="e">
        <f ca="1">Time!BA50+"VCW!E:"</f>
        <v>#VALUE!</v>
      </c>
      <c r="EX11" t="e">
        <f ca="1">Time!BB50+"VCW!E;"</f>
        <v>#VALUE!</v>
      </c>
      <c r="EY11" t="e">
        <f ca="1">Time!BC50+"VCW!E&lt;"</f>
        <v>#VALUE!</v>
      </c>
      <c r="EZ11" t="e">
        <f ca="1">Time!BD50+"VCW!E="</f>
        <v>#VALUE!</v>
      </c>
      <c r="FA11" t="e">
        <f ca="1">Time!BE50+"VCW!E&gt;"</f>
        <v>#VALUE!</v>
      </c>
      <c r="FB11" t="e">
        <f ca="1">Time!BF50+"VCW!E?"</f>
        <v>#VALUE!</v>
      </c>
      <c r="FC11" t="e">
        <f ca="1">Time!BG50+"VCW!E@"</f>
        <v>#VALUE!</v>
      </c>
      <c r="FD11" t="e">
        <f ca="1">Time!BH50+"VCW!EA"</f>
        <v>#VALUE!</v>
      </c>
      <c r="FE11" t="e">
        <f ca="1">Time!BI50+"VCW!EB"</f>
        <v>#VALUE!</v>
      </c>
      <c r="FF11" t="e">
        <f ca="1">Time!BJ50+"VCW!EC"</f>
        <v>#VALUE!</v>
      </c>
      <c r="FG11" t="e">
        <f ca="1">Time!BK50+"VCW!ED"</f>
        <v>#VALUE!</v>
      </c>
      <c r="FH11" t="e">
        <f ca="1">Time!BL50+"VCW!EE"</f>
        <v>#VALUE!</v>
      </c>
      <c r="FI11" t="e">
        <f ca="1">Time!BM50+"VCW!EF"</f>
        <v>#VALUE!</v>
      </c>
      <c r="FJ11" t="e">
        <f ca="1">Time!BN50+"VCW!EG"</f>
        <v>#VALUE!</v>
      </c>
      <c r="FK11" t="e">
        <f ca="1">Time!BO50+"VCW!EH"</f>
        <v>#VALUE!</v>
      </c>
      <c r="FL11" t="e">
        <f ca="1">Time!BP50+"VCW!EI"</f>
        <v>#VALUE!</v>
      </c>
      <c r="FM11" t="e">
        <f ca="1">Time!BQ50+"VCW!EJ"</f>
        <v>#VALUE!</v>
      </c>
      <c r="FN11" t="e">
        <f ca="1">Time!BR50+"VCW!EK"</f>
        <v>#VALUE!</v>
      </c>
      <c r="FO11" t="e">
        <f ca="1">Time!BS50+"VCW!EL"</f>
        <v>#VALUE!</v>
      </c>
      <c r="FP11" t="e">
        <f ca="1">Time!BT50+"VCW!EM"</f>
        <v>#VALUE!</v>
      </c>
      <c r="FQ11" t="e">
        <f ca="1">Time!BU50+"VCW!EN"</f>
        <v>#VALUE!</v>
      </c>
      <c r="FR11" t="e">
        <f ca="1">Time!BV50+"VCW!EO"</f>
        <v>#VALUE!</v>
      </c>
      <c r="FS11" t="e">
        <f ca="1">Time!BW50+"VCW!EP"</f>
        <v>#VALUE!</v>
      </c>
      <c r="FT11" t="e">
        <f ca="1">Time!BX50+"VCW!EQ"</f>
        <v>#VALUE!</v>
      </c>
      <c r="FU11" t="e">
        <f ca="1">Time!BY50+"VCW!ER"</f>
        <v>#VALUE!</v>
      </c>
      <c r="FV11" t="e">
        <f ca="1">Time!A51+"VCW!ES"</f>
        <v>#VALUE!</v>
      </c>
      <c r="FW11" t="e">
        <f ca="1">Time!B51+"VCW!ET"</f>
        <v>#VALUE!</v>
      </c>
      <c r="FX11" t="e">
        <f ca="1">Time!C51+"VCW!EU"</f>
        <v>#VALUE!</v>
      </c>
      <c r="FY11" t="e">
        <f ca="1">Time!D51+"VCW!EV"</f>
        <v>#VALUE!</v>
      </c>
      <c r="FZ11" t="e">
        <f ca="1">Time!E51+"VCW!EW"</f>
        <v>#VALUE!</v>
      </c>
      <c r="GA11" t="e">
        <f ca="1">Time!F51+"VCW!EX"</f>
        <v>#VALUE!</v>
      </c>
      <c r="GB11" t="e">
        <f ca="1">Time!G51+"VCW!EY"</f>
        <v>#VALUE!</v>
      </c>
      <c r="GC11" t="e">
        <f ca="1">Time!H51+"VCW!EZ"</f>
        <v>#VALUE!</v>
      </c>
      <c r="GD11" t="e">
        <f ca="1">Time!I51+"VCW!E["</f>
        <v>#VALUE!</v>
      </c>
      <c r="GE11" t="e">
        <f ca="1">Time!J51+"VCW!E\"</f>
        <v>#VALUE!</v>
      </c>
      <c r="GF11" t="e">
        <f ca="1">Time!K51+"VCW!E]"</f>
        <v>#VALUE!</v>
      </c>
      <c r="GG11" t="e">
        <f ca="1">Time!L51+"VCW!E^"</f>
        <v>#VALUE!</v>
      </c>
      <c r="GH11" t="e">
        <f ca="1">Time!M51+"VCW!E_"</f>
        <v>#VALUE!</v>
      </c>
      <c r="GI11" t="e">
        <f ca="1">Time!N51+"VCW!E`"</f>
        <v>#VALUE!</v>
      </c>
      <c r="GJ11" t="e">
        <f ca="1">Time!O51+"VCW!Ea"</f>
        <v>#VALUE!</v>
      </c>
      <c r="GK11" t="e">
        <f ca="1">Time!P51+"VCW!Eb"</f>
        <v>#VALUE!</v>
      </c>
      <c r="GL11" t="e">
        <f ca="1">Time!Q51+"VCW!Ec"</f>
        <v>#VALUE!</v>
      </c>
      <c r="GM11" t="e">
        <f ca="1">Time!R51+"VCW!Ed"</f>
        <v>#VALUE!</v>
      </c>
      <c r="GN11" t="e">
        <f ca="1">Time!S51+"VCW!Ee"</f>
        <v>#VALUE!</v>
      </c>
      <c r="GO11" t="e">
        <f ca="1">Time!T51+"VCW!Ef"</f>
        <v>#VALUE!</v>
      </c>
      <c r="GP11" t="e">
        <f ca="1">Time!U51+"VCW!Eg"</f>
        <v>#VALUE!</v>
      </c>
      <c r="GQ11" t="e">
        <f ca="1">Time!V51+"VCW!Eh"</f>
        <v>#VALUE!</v>
      </c>
      <c r="GR11" t="e">
        <f ca="1">Time!W51+"VCW!Ei"</f>
        <v>#VALUE!</v>
      </c>
      <c r="GS11" t="e">
        <f ca="1">Time!X51+"VCW!Ej"</f>
        <v>#VALUE!</v>
      </c>
      <c r="GT11" t="e">
        <f ca="1">Time!Y51+"VCW!Ek"</f>
        <v>#VALUE!</v>
      </c>
      <c r="GU11" t="e">
        <f ca="1">Time!Z51+"VCW!El"</f>
        <v>#VALUE!</v>
      </c>
      <c r="GV11" t="e">
        <f ca="1">Time!AA51+"VCW!Em"</f>
        <v>#VALUE!</v>
      </c>
      <c r="GW11" t="e">
        <f ca="1">Time!AB51+"VCW!En"</f>
        <v>#VALUE!</v>
      </c>
      <c r="GX11" t="e">
        <f ca="1">Time!AC51+"VCW!Eo"</f>
        <v>#VALUE!</v>
      </c>
      <c r="GY11" t="e">
        <f ca="1">Time!AD51+"VCW!Ep"</f>
        <v>#VALUE!</v>
      </c>
      <c r="GZ11" t="e">
        <f ca="1">Time!AE51+"VCW!Eq"</f>
        <v>#VALUE!</v>
      </c>
      <c r="HA11" t="e">
        <f ca="1">Time!AF51+"VCW!Er"</f>
        <v>#VALUE!</v>
      </c>
      <c r="HB11" t="e">
        <f ca="1">Time!AG51+"VCW!Es"</f>
        <v>#VALUE!</v>
      </c>
      <c r="HC11" t="e">
        <f ca="1">Time!AH51+"VCW!Et"</f>
        <v>#VALUE!</v>
      </c>
      <c r="HD11" t="e">
        <f ca="1">Time!AI51+"VCW!Eu"</f>
        <v>#VALUE!</v>
      </c>
      <c r="HE11" t="e">
        <f ca="1">Time!AJ51+"VCW!Ev"</f>
        <v>#VALUE!</v>
      </c>
      <c r="HF11" t="e">
        <f ca="1">Time!AK51+"VCW!Ew"</f>
        <v>#VALUE!</v>
      </c>
      <c r="HG11" t="e">
        <f ca="1">Time!AL51+"VCW!Ex"</f>
        <v>#VALUE!</v>
      </c>
      <c r="HH11" t="e">
        <f ca="1">Time!AM51+"VCW!Ey"</f>
        <v>#VALUE!</v>
      </c>
      <c r="HI11" t="e">
        <f ca="1">Time!AN51+"VCW!Ez"</f>
        <v>#VALUE!</v>
      </c>
      <c r="HJ11" t="e">
        <f ca="1">Time!AO51+"VCW!E{"</f>
        <v>#VALUE!</v>
      </c>
      <c r="HK11" t="e">
        <f ca="1">Time!AP51+"VCW!E|"</f>
        <v>#VALUE!</v>
      </c>
      <c r="HL11" t="e">
        <f ca="1">Time!AQ51+"VCW!E}"</f>
        <v>#VALUE!</v>
      </c>
      <c r="HM11" t="e">
        <f ca="1">Time!AR51+"VCW!E~"</f>
        <v>#VALUE!</v>
      </c>
      <c r="HN11" t="e">
        <f ca="1">Time!AS51+"VCW!F#"</f>
        <v>#VALUE!</v>
      </c>
      <c r="HO11" t="e">
        <f ca="1">Time!AT51+"VCW!F$"</f>
        <v>#VALUE!</v>
      </c>
      <c r="HP11" t="e">
        <f ca="1">Time!AU51+"VCW!F%"</f>
        <v>#VALUE!</v>
      </c>
      <c r="HQ11" t="e">
        <f ca="1">Time!AV51+"VCW!F&amp;"</f>
        <v>#VALUE!</v>
      </c>
      <c r="HR11" t="e">
        <f ca="1">Time!AW51+"VCW!F'"</f>
        <v>#VALUE!</v>
      </c>
      <c r="HS11" t="e">
        <f ca="1">Time!AX51+"VCW!F("</f>
        <v>#VALUE!</v>
      </c>
      <c r="HT11" t="e">
        <f ca="1">Time!AY51+"VCW!F)"</f>
        <v>#VALUE!</v>
      </c>
      <c r="HU11" t="e">
        <f ca="1">Time!AZ51+"VCW!F."</f>
        <v>#VALUE!</v>
      </c>
      <c r="HV11" t="e">
        <f ca="1">Time!BA51+"VCW!F/"</f>
        <v>#VALUE!</v>
      </c>
      <c r="HW11" t="e">
        <f ca="1">Time!BB51+"VCW!F0"</f>
        <v>#VALUE!</v>
      </c>
      <c r="HX11" t="e">
        <f ca="1">Time!BC51+"VCW!F1"</f>
        <v>#VALUE!</v>
      </c>
      <c r="HY11" t="e">
        <f ca="1">Time!BD51+"VCW!F2"</f>
        <v>#VALUE!</v>
      </c>
      <c r="HZ11" t="e">
        <f ca="1">Time!BE51+"VCW!F3"</f>
        <v>#VALUE!</v>
      </c>
      <c r="IA11" t="e">
        <f ca="1">Time!BF51+"VCW!F4"</f>
        <v>#VALUE!</v>
      </c>
      <c r="IB11" t="e">
        <f ca="1">Time!BG51+"VCW!F5"</f>
        <v>#VALUE!</v>
      </c>
      <c r="IC11" t="e">
        <f ca="1">Time!BH51+"VCW!F6"</f>
        <v>#VALUE!</v>
      </c>
      <c r="ID11" t="e">
        <f ca="1">Time!BI51+"VCW!F7"</f>
        <v>#VALUE!</v>
      </c>
      <c r="IE11" t="e">
        <f ca="1">Time!BJ51+"VCW!F8"</f>
        <v>#VALUE!</v>
      </c>
      <c r="IF11" t="e">
        <f ca="1">Time!BK51+"VCW!F9"</f>
        <v>#VALUE!</v>
      </c>
      <c r="IG11" t="e">
        <f ca="1">Time!BL51+"VCW!F:"</f>
        <v>#VALUE!</v>
      </c>
      <c r="IH11" t="e">
        <f ca="1">Time!BM51+"VCW!F;"</f>
        <v>#VALUE!</v>
      </c>
      <c r="II11" t="e">
        <f ca="1">Time!BN51+"VCW!F&lt;"</f>
        <v>#VALUE!</v>
      </c>
      <c r="IJ11" t="e">
        <f ca="1">Time!BO51+"VCW!F="</f>
        <v>#VALUE!</v>
      </c>
      <c r="IK11" t="e">
        <f ca="1">Time!BP51+"VCW!F&gt;"</f>
        <v>#VALUE!</v>
      </c>
      <c r="IL11" t="e">
        <f ca="1">Time!BQ51+"VCW!F?"</f>
        <v>#VALUE!</v>
      </c>
      <c r="IM11" t="e">
        <f ca="1">Time!BR51+"VCW!F@"</f>
        <v>#VALUE!</v>
      </c>
      <c r="IN11" t="e">
        <f ca="1">Time!BS51+"VCW!FA"</f>
        <v>#VALUE!</v>
      </c>
      <c r="IO11" t="e">
        <f ca="1">Time!BT51+"VCW!FB"</f>
        <v>#VALUE!</v>
      </c>
      <c r="IP11" t="e">
        <f ca="1">Time!BU51+"VCW!FC"</f>
        <v>#VALUE!</v>
      </c>
      <c r="IQ11" t="e">
        <f ca="1">Time!BV51+"VCW!FD"</f>
        <v>#VALUE!</v>
      </c>
      <c r="IR11" t="e">
        <f ca="1">Time!BW51+"VCW!FE"</f>
        <v>#VALUE!</v>
      </c>
      <c r="IS11" t="e">
        <f ca="1">Time!BX51+"VCW!FF"</f>
        <v>#VALUE!</v>
      </c>
      <c r="IT11" t="e">
        <f ca="1">Time!BY51+"VCW!FG"</f>
        <v>#VALUE!</v>
      </c>
      <c r="IU11" t="e">
        <f ca="1">Time!A52+"VCW!FH"</f>
        <v>#VALUE!</v>
      </c>
      <c r="IV11" t="e">
        <f ca="1">Time!B52+"VCW!FI"</f>
        <v>#VALUE!</v>
      </c>
    </row>
    <row r="12" spans="1:256" x14ac:dyDescent="0.2">
      <c r="F12" t="e">
        <f ca="1">Time!C52+"VCW!FJ"</f>
        <v>#VALUE!</v>
      </c>
      <c r="G12" t="e">
        <f ca="1">Time!D52+"VCW!FK"</f>
        <v>#VALUE!</v>
      </c>
      <c r="H12" t="e">
        <f ca="1">Time!E52+"VCW!FL"</f>
        <v>#VALUE!</v>
      </c>
      <c r="I12" t="e">
        <f ca="1">Time!F52+"VCW!FM"</f>
        <v>#VALUE!</v>
      </c>
      <c r="J12" t="e">
        <f ca="1">Time!G52+"VCW!FN"</f>
        <v>#VALUE!</v>
      </c>
      <c r="K12" t="e">
        <f ca="1">Time!H52+"VCW!FO"</f>
        <v>#VALUE!</v>
      </c>
      <c r="L12" t="e">
        <f ca="1">Time!I52+"VCW!FP"</f>
        <v>#VALUE!</v>
      </c>
      <c r="M12" t="e">
        <f ca="1">Time!J52+"VCW!FQ"</f>
        <v>#VALUE!</v>
      </c>
      <c r="N12" t="e">
        <f ca="1">Time!K52+"VCW!FR"</f>
        <v>#VALUE!</v>
      </c>
      <c r="O12" t="e">
        <f ca="1">Time!L52+"VCW!FS"</f>
        <v>#VALUE!</v>
      </c>
      <c r="P12" t="e">
        <f ca="1">Time!M52+"VCW!FT"</f>
        <v>#VALUE!</v>
      </c>
      <c r="Q12" t="e">
        <f ca="1">Time!N52+"VCW!FU"</f>
        <v>#VALUE!</v>
      </c>
      <c r="R12" t="e">
        <f ca="1">Time!O52+"VCW!FV"</f>
        <v>#VALUE!</v>
      </c>
      <c r="S12" t="e">
        <f ca="1">Time!P52+"VCW!FW"</f>
        <v>#VALUE!</v>
      </c>
      <c r="T12" t="e">
        <f ca="1">Time!Q52+"VCW!FX"</f>
        <v>#VALUE!</v>
      </c>
      <c r="U12" t="e">
        <f ca="1">Time!R52+"VCW!FY"</f>
        <v>#VALUE!</v>
      </c>
      <c r="V12" t="e">
        <f ca="1">Time!S52+"VCW!FZ"</f>
        <v>#VALUE!</v>
      </c>
      <c r="W12" t="e">
        <f ca="1">Time!T52+"VCW!F["</f>
        <v>#VALUE!</v>
      </c>
      <c r="X12" t="e">
        <f ca="1">Time!U52+"VCW!F\"</f>
        <v>#VALUE!</v>
      </c>
      <c r="Y12" t="e">
        <f ca="1">Time!V52+"VCW!F]"</f>
        <v>#VALUE!</v>
      </c>
      <c r="Z12" t="e">
        <f ca="1">Time!W52+"VCW!F^"</f>
        <v>#VALUE!</v>
      </c>
      <c r="AA12" t="e">
        <f ca="1">Time!X52+"VCW!F_"</f>
        <v>#VALUE!</v>
      </c>
      <c r="AB12" t="e">
        <f ca="1">Time!Y52+"VCW!F`"</f>
        <v>#VALUE!</v>
      </c>
      <c r="AC12" t="e">
        <f ca="1">Time!Z52+"VCW!Fa"</f>
        <v>#VALUE!</v>
      </c>
      <c r="AD12" t="e">
        <f ca="1">Time!AA52+"VCW!Fb"</f>
        <v>#VALUE!</v>
      </c>
      <c r="AE12" t="e">
        <f ca="1">Time!AB52+"VCW!Fc"</f>
        <v>#VALUE!</v>
      </c>
      <c r="AF12" t="e">
        <f ca="1">Time!AC52+"VCW!Fd"</f>
        <v>#VALUE!</v>
      </c>
      <c r="AG12" t="e">
        <f ca="1">Time!AD52+"VCW!Fe"</f>
        <v>#VALUE!</v>
      </c>
      <c r="AH12" t="e">
        <f ca="1">Time!AE52+"VCW!Ff"</f>
        <v>#VALUE!</v>
      </c>
      <c r="AI12" t="e">
        <f ca="1">Time!AF52+"VCW!Fg"</f>
        <v>#VALUE!</v>
      </c>
      <c r="AJ12" t="e">
        <f ca="1">Time!AG52+"VCW!Fh"</f>
        <v>#VALUE!</v>
      </c>
      <c r="AK12" t="e">
        <f ca="1">Time!AH52+"VCW!Fi"</f>
        <v>#VALUE!</v>
      </c>
      <c r="AL12" t="e">
        <f ca="1">Time!AI52+"VCW!Fj"</f>
        <v>#VALUE!</v>
      </c>
      <c r="AM12" t="e">
        <f ca="1">Time!AJ52+"VCW!Fk"</f>
        <v>#VALUE!</v>
      </c>
      <c r="AN12" t="e">
        <f ca="1">Time!AK52+"VCW!Fl"</f>
        <v>#VALUE!</v>
      </c>
      <c r="AO12" t="e">
        <f ca="1">Time!AL52+"VCW!Fm"</f>
        <v>#VALUE!</v>
      </c>
      <c r="AP12" t="e">
        <f ca="1">Time!AM52+"VCW!Fn"</f>
        <v>#VALUE!</v>
      </c>
      <c r="AQ12" t="e">
        <f ca="1">Time!AN52+"VCW!Fo"</f>
        <v>#VALUE!</v>
      </c>
      <c r="AR12" t="e">
        <f ca="1">Time!AO52+"VCW!Fp"</f>
        <v>#VALUE!</v>
      </c>
      <c r="AS12" t="e">
        <f ca="1">Time!AP52+"VCW!Fq"</f>
        <v>#VALUE!</v>
      </c>
      <c r="AT12" t="e">
        <f ca="1">Time!AQ52+"VCW!Fr"</f>
        <v>#VALUE!</v>
      </c>
      <c r="AU12" t="e">
        <f ca="1">Time!AR52+"VCW!Fs"</f>
        <v>#VALUE!</v>
      </c>
      <c r="AV12" t="e">
        <f ca="1">Time!AS52+"VCW!Ft"</f>
        <v>#VALUE!</v>
      </c>
      <c r="AW12" t="e">
        <f ca="1">Time!AT52+"VCW!Fu"</f>
        <v>#VALUE!</v>
      </c>
      <c r="AX12" t="e">
        <f ca="1">Time!AU52+"VCW!Fv"</f>
        <v>#VALUE!</v>
      </c>
      <c r="AY12" t="e">
        <f ca="1">Time!AV52+"VCW!Fw"</f>
        <v>#VALUE!</v>
      </c>
      <c r="AZ12" t="e">
        <f ca="1">Time!AW52+"VCW!Fx"</f>
        <v>#VALUE!</v>
      </c>
      <c r="BA12" t="e">
        <f ca="1">Time!AX52+"VCW!Fy"</f>
        <v>#VALUE!</v>
      </c>
      <c r="BB12" t="e">
        <f ca="1">Time!AY52+"VCW!Fz"</f>
        <v>#VALUE!</v>
      </c>
      <c r="BC12" t="e">
        <f ca="1">Time!AZ52+"VCW!F{"</f>
        <v>#VALUE!</v>
      </c>
      <c r="BD12" t="e">
        <f ca="1">Time!BA52+"VCW!F|"</f>
        <v>#VALUE!</v>
      </c>
      <c r="BE12" t="e">
        <f ca="1">Time!BB52+"VCW!F}"</f>
        <v>#VALUE!</v>
      </c>
      <c r="BF12" t="e">
        <f ca="1">Time!BC52+"VCW!F~"</f>
        <v>#VALUE!</v>
      </c>
      <c r="BG12" t="e">
        <f ca="1">Time!BD52+"VCW!G#"</f>
        <v>#VALUE!</v>
      </c>
      <c r="BH12" t="e">
        <f ca="1">Time!BE52+"VCW!G$"</f>
        <v>#VALUE!</v>
      </c>
      <c r="BI12" t="e">
        <f ca="1">Time!BF52+"VCW!G%"</f>
        <v>#VALUE!</v>
      </c>
      <c r="BJ12" t="e">
        <f ca="1">Time!BG52+"VCW!G&amp;"</f>
        <v>#VALUE!</v>
      </c>
      <c r="BK12" t="e">
        <f ca="1">Time!BH52+"VCW!G'"</f>
        <v>#VALUE!</v>
      </c>
      <c r="BL12" t="e">
        <f ca="1">Time!BI52+"VCW!G("</f>
        <v>#VALUE!</v>
      </c>
      <c r="BM12" t="e">
        <f ca="1">Time!BJ52+"VCW!G)"</f>
        <v>#VALUE!</v>
      </c>
      <c r="BN12" t="e">
        <f ca="1">Time!BK52+"VCW!G."</f>
        <v>#VALUE!</v>
      </c>
      <c r="BO12" t="e">
        <f ca="1">Time!BL52+"VCW!G/"</f>
        <v>#VALUE!</v>
      </c>
      <c r="BP12" t="e">
        <f ca="1">Time!BM52+"VCW!G0"</f>
        <v>#VALUE!</v>
      </c>
      <c r="BQ12" t="e">
        <f ca="1">Time!BN52+"VCW!G1"</f>
        <v>#VALUE!</v>
      </c>
      <c r="BR12" t="e">
        <f ca="1">Time!BO52+"VCW!G2"</f>
        <v>#VALUE!</v>
      </c>
      <c r="BS12" t="e">
        <f ca="1">Time!BP52+"VCW!G3"</f>
        <v>#VALUE!</v>
      </c>
      <c r="BT12" t="e">
        <f ca="1">Time!BQ52+"VCW!G4"</f>
        <v>#VALUE!</v>
      </c>
      <c r="BU12" t="e">
        <f ca="1">Time!BR52+"VCW!G5"</f>
        <v>#VALUE!</v>
      </c>
      <c r="BV12" t="e">
        <f ca="1">Time!BS52+"VCW!G6"</f>
        <v>#VALUE!</v>
      </c>
      <c r="BW12" t="e">
        <f ca="1">Time!BT52+"VCW!G7"</f>
        <v>#VALUE!</v>
      </c>
      <c r="BX12" t="e">
        <f ca="1">Time!BU52+"VCW!G8"</f>
        <v>#VALUE!</v>
      </c>
      <c r="BY12" t="e">
        <f ca="1">Time!BV52+"VCW!G9"</f>
        <v>#VALUE!</v>
      </c>
      <c r="BZ12" t="e">
        <f ca="1">Time!BW52+"VCW!G:"</f>
        <v>#VALUE!</v>
      </c>
      <c r="CA12" t="e">
        <f ca="1">Time!BX52+"VCW!G;"</f>
        <v>#VALUE!</v>
      </c>
      <c r="CB12" t="e">
        <f ca="1">Time!BY52+"VCW!G&lt;"</f>
        <v>#VALUE!</v>
      </c>
      <c r="CC12" t="e">
        <f ca="1">Time!A53+"VCW!G="</f>
        <v>#VALUE!</v>
      </c>
      <c r="CD12" t="e">
        <f ca="1">Time!B53+"VCW!G&gt;"</f>
        <v>#VALUE!</v>
      </c>
      <c r="CE12" t="e">
        <f ca="1">Time!C53+"VCW!G?"</f>
        <v>#VALUE!</v>
      </c>
      <c r="CF12" t="e">
        <f ca="1">Time!D53+"VCW!G@"</f>
        <v>#VALUE!</v>
      </c>
      <c r="CG12" t="e">
        <f ca="1">Time!E53+"VCW!GA"</f>
        <v>#VALUE!</v>
      </c>
      <c r="CH12" t="e">
        <f ca="1">Time!F53+"VCW!GB"</f>
        <v>#VALUE!</v>
      </c>
      <c r="CI12" t="e">
        <f ca="1">Time!G53+"VCW!GC"</f>
        <v>#VALUE!</v>
      </c>
      <c r="CJ12" t="e">
        <f ca="1">Time!H53+"VCW!GD"</f>
        <v>#VALUE!</v>
      </c>
      <c r="CK12" t="e">
        <f ca="1">Time!I53+"VCW!GE"</f>
        <v>#VALUE!</v>
      </c>
      <c r="CL12" t="e">
        <f ca="1">Time!J53+"VCW!GF"</f>
        <v>#VALUE!</v>
      </c>
      <c r="CM12" t="e">
        <f ca="1">Time!K53+"VCW!GG"</f>
        <v>#VALUE!</v>
      </c>
      <c r="CN12" t="e">
        <f ca="1">Time!L53+"VCW!GH"</f>
        <v>#VALUE!</v>
      </c>
      <c r="CO12" t="e">
        <f ca="1">Time!M53+"VCW!GI"</f>
        <v>#VALUE!</v>
      </c>
      <c r="CP12" t="e">
        <f ca="1">Time!N53+"VCW!GJ"</f>
        <v>#VALUE!</v>
      </c>
      <c r="CQ12" t="e">
        <f ca="1">Time!O53+"VCW!GK"</f>
        <v>#VALUE!</v>
      </c>
      <c r="CR12" t="e">
        <f ca="1">Time!P53+"VCW!GL"</f>
        <v>#VALUE!</v>
      </c>
      <c r="CS12" t="e">
        <f ca="1">Time!Q53+"VCW!GM"</f>
        <v>#VALUE!</v>
      </c>
      <c r="CT12" t="e">
        <f ca="1">Time!R53+"VCW!GN"</f>
        <v>#VALUE!</v>
      </c>
      <c r="CU12" t="e">
        <f ca="1">Time!S53+"VCW!GO"</f>
        <v>#VALUE!</v>
      </c>
      <c r="CV12" t="e">
        <f ca="1">Time!T53+"VCW!GP"</f>
        <v>#VALUE!</v>
      </c>
      <c r="CW12" t="e">
        <f ca="1">Time!U53+"VCW!GQ"</f>
        <v>#VALUE!</v>
      </c>
      <c r="CX12" t="e">
        <f ca="1">Time!V53+"VCW!GR"</f>
        <v>#VALUE!</v>
      </c>
      <c r="CY12" t="e">
        <f ca="1">Time!W53+"VCW!GS"</f>
        <v>#VALUE!</v>
      </c>
      <c r="CZ12" t="e">
        <f ca="1">Time!X53+"VCW!GT"</f>
        <v>#VALUE!</v>
      </c>
      <c r="DA12" t="e">
        <f ca="1">Time!Y53+"VCW!GU"</f>
        <v>#VALUE!</v>
      </c>
      <c r="DB12" t="e">
        <f ca="1">Time!Z53+"VCW!GV"</f>
        <v>#VALUE!</v>
      </c>
      <c r="DC12" t="e">
        <f ca="1">Time!AA53+"VCW!GW"</f>
        <v>#VALUE!</v>
      </c>
      <c r="DD12" t="e">
        <f ca="1">Time!AB53+"VCW!GX"</f>
        <v>#VALUE!</v>
      </c>
      <c r="DE12" t="e">
        <f ca="1">Time!AC53+"VCW!GY"</f>
        <v>#VALUE!</v>
      </c>
      <c r="DF12" t="e">
        <f ca="1">Time!AD53+"VCW!GZ"</f>
        <v>#VALUE!</v>
      </c>
      <c r="DG12" t="e">
        <f ca="1">Time!AE53+"VCW!G["</f>
        <v>#VALUE!</v>
      </c>
      <c r="DH12" t="e">
        <f ca="1">Time!AF53+"VCW!G\"</f>
        <v>#VALUE!</v>
      </c>
      <c r="DI12" t="e">
        <f ca="1">Time!AG53+"VCW!G]"</f>
        <v>#VALUE!</v>
      </c>
      <c r="DJ12" t="e">
        <f ca="1">Time!AH53+"VCW!G^"</f>
        <v>#VALUE!</v>
      </c>
      <c r="DK12" t="e">
        <f ca="1">Time!AI53+"VCW!G_"</f>
        <v>#VALUE!</v>
      </c>
      <c r="DL12" t="e">
        <f ca="1">Time!AJ53+"VCW!G`"</f>
        <v>#VALUE!</v>
      </c>
      <c r="DM12" t="e">
        <f ca="1">Time!AK53+"VCW!Ga"</f>
        <v>#VALUE!</v>
      </c>
      <c r="DN12" t="e">
        <f ca="1">Time!AL53+"VCW!Gb"</f>
        <v>#VALUE!</v>
      </c>
      <c r="DO12" t="e">
        <f ca="1">Time!AM53+"VCW!Gc"</f>
        <v>#VALUE!</v>
      </c>
      <c r="DP12" t="e">
        <f ca="1">Time!AN53+"VCW!Gd"</f>
        <v>#VALUE!</v>
      </c>
      <c r="DQ12" t="e">
        <f ca="1">Time!AO53+"VCW!Ge"</f>
        <v>#VALUE!</v>
      </c>
      <c r="DR12" t="e">
        <f ca="1">Time!AP53+"VCW!Gf"</f>
        <v>#VALUE!</v>
      </c>
      <c r="DS12" t="e">
        <f ca="1">Time!AQ53+"VCW!Gg"</f>
        <v>#VALUE!</v>
      </c>
      <c r="DT12" t="e">
        <f ca="1">Time!AR53+"VCW!Gh"</f>
        <v>#VALUE!</v>
      </c>
      <c r="DU12" t="e">
        <f ca="1">Time!AS53+"VCW!Gi"</f>
        <v>#VALUE!</v>
      </c>
      <c r="DV12" t="e">
        <f ca="1">Time!AT53+"VCW!Gj"</f>
        <v>#VALUE!</v>
      </c>
      <c r="DW12" t="e">
        <f ca="1">Time!AU53+"VCW!Gk"</f>
        <v>#VALUE!</v>
      </c>
      <c r="DX12" t="e">
        <f ca="1">Time!AV53+"VCW!Gl"</f>
        <v>#VALUE!</v>
      </c>
      <c r="DY12" t="e">
        <f ca="1">Time!AW53+"VCW!Gm"</f>
        <v>#VALUE!</v>
      </c>
      <c r="DZ12" t="e">
        <f ca="1">Time!AX53+"VCW!Gn"</f>
        <v>#VALUE!</v>
      </c>
      <c r="EA12" t="e">
        <f ca="1">Time!AY53+"VCW!Go"</f>
        <v>#VALUE!</v>
      </c>
      <c r="EB12" t="e">
        <f ca="1">Time!AZ53+"VCW!Gp"</f>
        <v>#VALUE!</v>
      </c>
      <c r="EC12" t="e">
        <f ca="1">Time!BA53+"VCW!Gq"</f>
        <v>#VALUE!</v>
      </c>
      <c r="ED12" t="e">
        <f ca="1">Time!BB53+"VCW!Gr"</f>
        <v>#VALUE!</v>
      </c>
      <c r="EE12" t="e">
        <f ca="1">Time!BC53+"VCW!Gs"</f>
        <v>#VALUE!</v>
      </c>
      <c r="EF12" t="e">
        <f ca="1">Time!BD53+"VCW!Gt"</f>
        <v>#VALUE!</v>
      </c>
      <c r="EG12" t="e">
        <f ca="1">Time!BE53+"VCW!Gu"</f>
        <v>#VALUE!</v>
      </c>
      <c r="EH12" t="e">
        <f ca="1">Time!BF53+"VCW!Gv"</f>
        <v>#VALUE!</v>
      </c>
      <c r="EI12" t="e">
        <f ca="1">Time!BG53+"VCW!Gw"</f>
        <v>#VALUE!</v>
      </c>
      <c r="EJ12" t="e">
        <f ca="1">Time!BH53+"VCW!Gx"</f>
        <v>#VALUE!</v>
      </c>
      <c r="EK12" t="e">
        <f ca="1">Time!BI53+"VCW!Gy"</f>
        <v>#VALUE!</v>
      </c>
      <c r="EL12" t="e">
        <f ca="1">Time!BJ53+"VCW!Gz"</f>
        <v>#VALUE!</v>
      </c>
      <c r="EM12" t="e">
        <f ca="1">Time!BK53+"VCW!G{"</f>
        <v>#VALUE!</v>
      </c>
      <c r="EN12" t="e">
        <f ca="1">Time!BL53+"VCW!G|"</f>
        <v>#VALUE!</v>
      </c>
      <c r="EO12" t="e">
        <f ca="1">Time!BM53+"VCW!G}"</f>
        <v>#VALUE!</v>
      </c>
      <c r="EP12" t="e">
        <f ca="1">Time!BN53+"VCW!G~"</f>
        <v>#VALUE!</v>
      </c>
      <c r="EQ12" t="e">
        <f ca="1">Time!BO53+"VCW!H#"</f>
        <v>#VALUE!</v>
      </c>
      <c r="ER12" t="e">
        <f ca="1">Time!BP53+"VCW!H$"</f>
        <v>#VALUE!</v>
      </c>
      <c r="ES12" t="e">
        <f ca="1">Time!BQ53+"VCW!H%"</f>
        <v>#VALUE!</v>
      </c>
      <c r="ET12" t="e">
        <f ca="1">Time!BR53+"VCW!H&amp;"</f>
        <v>#VALUE!</v>
      </c>
      <c r="EU12" t="e">
        <f ca="1">Time!BS53+"VCW!H'"</f>
        <v>#VALUE!</v>
      </c>
      <c r="EV12" t="e">
        <f ca="1">Time!BT53+"VCW!H("</f>
        <v>#VALUE!</v>
      </c>
      <c r="EW12" t="e">
        <f ca="1">Time!BU53+"VCW!H)"</f>
        <v>#VALUE!</v>
      </c>
      <c r="EX12" t="e">
        <f ca="1">Time!BV53+"VCW!H."</f>
        <v>#VALUE!</v>
      </c>
      <c r="EY12" t="e">
        <f ca="1">Time!BW53+"VCW!H/"</f>
        <v>#VALUE!</v>
      </c>
      <c r="EZ12" t="e">
        <f ca="1">Time!BX53+"VCW!H0"</f>
        <v>#VALUE!</v>
      </c>
      <c r="FA12" t="e">
        <f ca="1">Time!BY53+"VCW!H1"</f>
        <v>#VALUE!</v>
      </c>
      <c r="FB12" t="e">
        <f ca="1">Time!A54+"VCW!H2"</f>
        <v>#VALUE!</v>
      </c>
      <c r="FC12" t="e">
        <f ca="1">Time!B54+"VCW!H3"</f>
        <v>#VALUE!</v>
      </c>
      <c r="FD12" t="e">
        <f ca="1">Time!C54+"VCW!H4"</f>
        <v>#VALUE!</v>
      </c>
      <c r="FE12" t="e">
        <f ca="1">Time!D54+"VCW!H5"</f>
        <v>#VALUE!</v>
      </c>
      <c r="FF12" t="e">
        <f ca="1">Time!E54+"VCW!H6"</f>
        <v>#VALUE!</v>
      </c>
      <c r="FG12" t="e">
        <f ca="1">Time!F54+"VCW!H7"</f>
        <v>#VALUE!</v>
      </c>
      <c r="FH12" t="e">
        <f ca="1">Time!G54+"VCW!H8"</f>
        <v>#VALUE!</v>
      </c>
      <c r="FI12" t="e">
        <f ca="1">Time!H54+"VCW!H9"</f>
        <v>#VALUE!</v>
      </c>
      <c r="FJ12" t="e">
        <f ca="1">Time!I54+"VCW!H:"</f>
        <v>#VALUE!</v>
      </c>
      <c r="FK12" t="e">
        <f ca="1">Time!J54+"VCW!H;"</f>
        <v>#VALUE!</v>
      </c>
      <c r="FL12" t="e">
        <f ca="1">Time!K54+"VCW!H&lt;"</f>
        <v>#VALUE!</v>
      </c>
      <c r="FM12" t="e">
        <f ca="1">Time!L54+"VCW!H="</f>
        <v>#VALUE!</v>
      </c>
      <c r="FN12" t="e">
        <f ca="1">Time!M54+"VCW!H&gt;"</f>
        <v>#VALUE!</v>
      </c>
      <c r="FO12" t="e">
        <f ca="1">Time!N54+"VCW!H?"</f>
        <v>#VALUE!</v>
      </c>
      <c r="FP12" t="e">
        <f ca="1">Time!O54+"VCW!H@"</f>
        <v>#VALUE!</v>
      </c>
      <c r="FQ12" t="e">
        <f ca="1">Time!P54+"VCW!HA"</f>
        <v>#VALUE!</v>
      </c>
      <c r="FR12" t="e">
        <f ca="1">Time!Q54+"VCW!HB"</f>
        <v>#VALUE!</v>
      </c>
      <c r="FS12" t="e">
        <f ca="1">Time!R54+"VCW!HC"</f>
        <v>#VALUE!</v>
      </c>
      <c r="FT12" t="e">
        <f ca="1">Time!S54+"VCW!HD"</f>
        <v>#VALUE!</v>
      </c>
      <c r="FU12" t="e">
        <f ca="1">Time!T54+"VCW!HE"</f>
        <v>#VALUE!</v>
      </c>
      <c r="FV12" t="e">
        <f ca="1">Time!U54+"VCW!HF"</f>
        <v>#VALUE!</v>
      </c>
      <c r="FW12" t="e">
        <f ca="1">Time!V54+"VCW!HG"</f>
        <v>#VALUE!</v>
      </c>
      <c r="FX12" t="e">
        <f ca="1">Time!W54+"VCW!HH"</f>
        <v>#VALUE!</v>
      </c>
      <c r="FY12" t="e">
        <f ca="1">Time!X54+"VCW!HI"</f>
        <v>#VALUE!</v>
      </c>
      <c r="FZ12" t="e">
        <f ca="1">Time!Y54+"VCW!HJ"</f>
        <v>#VALUE!</v>
      </c>
      <c r="GA12" t="e">
        <f ca="1">Time!Z54+"VCW!HK"</f>
        <v>#VALUE!</v>
      </c>
      <c r="GB12" t="e">
        <f ca="1">Time!AA54+"VCW!HL"</f>
        <v>#VALUE!</v>
      </c>
      <c r="GC12" t="e">
        <f ca="1">Time!AB54+"VCW!HM"</f>
        <v>#VALUE!</v>
      </c>
      <c r="GD12" t="e">
        <f ca="1">Time!AC54+"VCW!HN"</f>
        <v>#VALUE!</v>
      </c>
      <c r="GE12" t="e">
        <f ca="1">Time!AD54+"VCW!HO"</f>
        <v>#VALUE!</v>
      </c>
      <c r="GF12" t="e">
        <f ca="1">Time!AE54+"VCW!HP"</f>
        <v>#VALUE!</v>
      </c>
      <c r="GG12" t="e">
        <f ca="1">Time!AF54+"VCW!HQ"</f>
        <v>#VALUE!</v>
      </c>
      <c r="GH12" t="e">
        <f ca="1">Time!AG54+"VCW!HR"</f>
        <v>#VALUE!</v>
      </c>
      <c r="GI12" t="e">
        <f ca="1">Time!AH54+"VCW!HS"</f>
        <v>#VALUE!</v>
      </c>
      <c r="GJ12" t="e">
        <f ca="1">Time!AI54+"VCW!HT"</f>
        <v>#VALUE!</v>
      </c>
      <c r="GK12" t="e">
        <f ca="1">Time!AJ54+"VCW!HU"</f>
        <v>#VALUE!</v>
      </c>
      <c r="GL12" t="e">
        <f ca="1">Time!AK54+"VCW!HV"</f>
        <v>#VALUE!</v>
      </c>
      <c r="GM12" t="e">
        <f ca="1">Time!AL54+"VCW!HW"</f>
        <v>#VALUE!</v>
      </c>
      <c r="GN12" t="e">
        <f ca="1">Time!AM54+"VCW!HX"</f>
        <v>#VALUE!</v>
      </c>
      <c r="GO12" t="e">
        <f ca="1">Time!AN54+"VCW!HY"</f>
        <v>#VALUE!</v>
      </c>
      <c r="GP12" t="e">
        <f ca="1">Time!AO54+"VCW!HZ"</f>
        <v>#VALUE!</v>
      </c>
      <c r="GQ12" t="e">
        <f ca="1">Time!AP54+"VCW!H["</f>
        <v>#VALUE!</v>
      </c>
      <c r="GR12" t="e">
        <f ca="1">Time!AQ54+"VCW!H\"</f>
        <v>#VALUE!</v>
      </c>
      <c r="GS12" t="e">
        <f ca="1">Time!AR54+"VCW!H]"</f>
        <v>#VALUE!</v>
      </c>
      <c r="GT12" t="e">
        <f ca="1">Time!AS54+"VCW!H^"</f>
        <v>#VALUE!</v>
      </c>
      <c r="GU12" t="e">
        <f ca="1">Time!AT54+"VCW!H_"</f>
        <v>#VALUE!</v>
      </c>
      <c r="GV12" t="e">
        <f ca="1">Time!AU54+"VCW!H`"</f>
        <v>#VALUE!</v>
      </c>
      <c r="GW12" t="e">
        <f ca="1">Time!AV54+"VCW!Ha"</f>
        <v>#VALUE!</v>
      </c>
      <c r="GX12" t="e">
        <f ca="1">Time!AW54+"VCW!Hb"</f>
        <v>#VALUE!</v>
      </c>
      <c r="GY12" t="e">
        <f ca="1">Time!AX54+"VCW!Hc"</f>
        <v>#VALUE!</v>
      </c>
      <c r="GZ12" t="e">
        <f ca="1">Time!AY54+"VCW!Hd"</f>
        <v>#VALUE!</v>
      </c>
      <c r="HA12" t="e">
        <f ca="1">Time!AZ54+"VCW!He"</f>
        <v>#VALUE!</v>
      </c>
      <c r="HB12" t="e">
        <f ca="1">Time!BA54+"VCW!Hf"</f>
        <v>#VALUE!</v>
      </c>
      <c r="HC12" t="e">
        <f ca="1">Time!BB54+"VCW!Hg"</f>
        <v>#VALUE!</v>
      </c>
      <c r="HD12" t="e">
        <f ca="1">Time!BC54+"VCW!Hh"</f>
        <v>#VALUE!</v>
      </c>
      <c r="HE12" t="e">
        <f ca="1">Time!BD54+"VCW!Hi"</f>
        <v>#VALUE!</v>
      </c>
      <c r="HF12" t="e">
        <f ca="1">Time!BE54+"VCW!Hj"</f>
        <v>#VALUE!</v>
      </c>
      <c r="HG12" t="e">
        <f ca="1">Time!BF54+"VCW!Hk"</f>
        <v>#VALUE!</v>
      </c>
      <c r="HH12" t="e">
        <f ca="1">Time!BG54+"VCW!Hl"</f>
        <v>#VALUE!</v>
      </c>
      <c r="HI12" t="e">
        <f ca="1">Time!BH54+"VCW!Hm"</f>
        <v>#VALUE!</v>
      </c>
      <c r="HJ12" t="e">
        <f ca="1">Time!BI54+"VCW!Hn"</f>
        <v>#VALUE!</v>
      </c>
      <c r="HK12" t="e">
        <f ca="1">Time!BJ54+"VCW!Ho"</f>
        <v>#VALUE!</v>
      </c>
      <c r="HL12" t="e">
        <f ca="1">Time!BK54+"VCW!Hp"</f>
        <v>#VALUE!</v>
      </c>
      <c r="HM12" t="e">
        <f ca="1">Time!BL54+"VCW!Hq"</f>
        <v>#VALUE!</v>
      </c>
      <c r="HN12" t="e">
        <f ca="1">Time!BM54+"VCW!Hr"</f>
        <v>#VALUE!</v>
      </c>
      <c r="HO12" t="e">
        <f ca="1">Time!BN54+"VCW!Hs"</f>
        <v>#VALUE!</v>
      </c>
      <c r="HP12" t="e">
        <f ca="1">Time!BO54+"VCW!Ht"</f>
        <v>#VALUE!</v>
      </c>
      <c r="HQ12" t="e">
        <f ca="1">Time!BP54+"VCW!Hu"</f>
        <v>#VALUE!</v>
      </c>
      <c r="HR12" t="e">
        <f ca="1">Time!BQ54+"VCW!Hv"</f>
        <v>#VALUE!</v>
      </c>
      <c r="HS12" t="e">
        <f ca="1">Time!BR54+"VCW!Hw"</f>
        <v>#VALUE!</v>
      </c>
      <c r="HT12" t="e">
        <f ca="1">Time!BS54+"VCW!Hx"</f>
        <v>#VALUE!</v>
      </c>
      <c r="HU12" t="e">
        <f ca="1">Time!BT54+"VCW!Hy"</f>
        <v>#VALUE!</v>
      </c>
      <c r="HV12" t="e">
        <f ca="1">Time!BU54+"VCW!Hz"</f>
        <v>#VALUE!</v>
      </c>
      <c r="HW12" t="e">
        <f ca="1">Time!BV54+"VCW!H{"</f>
        <v>#VALUE!</v>
      </c>
      <c r="HX12" t="e">
        <f ca="1">Time!BW54+"VCW!H|"</f>
        <v>#VALUE!</v>
      </c>
      <c r="HY12" t="e">
        <f ca="1">Time!BX54+"VCW!H}"</f>
        <v>#VALUE!</v>
      </c>
      <c r="HZ12" t="e">
        <f ca="1">Time!BY54+"VCW!H~"</f>
        <v>#VALUE!</v>
      </c>
      <c r="IA12" t="e">
        <f ca="1">Time!C55+"VCW!I#"</f>
        <v>#VALUE!</v>
      </c>
      <c r="IB12" t="e">
        <f ca="1">Time!D55+"VCW!I$"</f>
        <v>#VALUE!</v>
      </c>
      <c r="IC12" t="e">
        <f ca="1">Time!E55+"VCW!I%"</f>
        <v>#VALUE!</v>
      </c>
      <c r="ID12" t="e">
        <f ca="1">Time!F55+"VCW!I&amp;"</f>
        <v>#VALUE!</v>
      </c>
      <c r="IE12" t="e">
        <f ca="1">Time!G55+"VCW!I'"</f>
        <v>#VALUE!</v>
      </c>
      <c r="IF12" t="e">
        <f ca="1">Time!H55+"VCW!I("</f>
        <v>#VALUE!</v>
      </c>
      <c r="IG12" t="e">
        <f ca="1">Time!J55+"VCW!I)"</f>
        <v>#VALUE!</v>
      </c>
      <c r="IH12" t="e">
        <f ca="1">Time!K55+"VCW!I."</f>
        <v>#VALUE!</v>
      </c>
      <c r="II12" t="e">
        <f ca="1">Time!L55+"VCW!I/"</f>
        <v>#VALUE!</v>
      </c>
      <c r="IJ12" t="e">
        <f ca="1">Time!M55+"VCW!I0"</f>
        <v>#VALUE!</v>
      </c>
      <c r="IK12" t="e">
        <f ca="1">Time!N55+"VCW!I1"</f>
        <v>#VALUE!</v>
      </c>
      <c r="IL12" t="e">
        <f ca="1">Time!O55+"VCW!I2"</f>
        <v>#VALUE!</v>
      </c>
      <c r="IM12" t="e">
        <f ca="1">Time!P55+"VCW!I3"</f>
        <v>#VALUE!</v>
      </c>
      <c r="IN12" t="e">
        <f ca="1">Time!Q55+"VCW!I4"</f>
        <v>#VALUE!</v>
      </c>
      <c r="IO12" t="e">
        <f ca="1">Time!R55+"VCW!I5"</f>
        <v>#VALUE!</v>
      </c>
      <c r="IP12" t="e">
        <f ca="1">Time!S55+"VCW!I6"</f>
        <v>#VALUE!</v>
      </c>
      <c r="IQ12" t="e">
        <f ca="1">Time!T55+"VCW!I7"</f>
        <v>#VALUE!</v>
      </c>
      <c r="IR12" t="e">
        <f ca="1">Time!U55+"VCW!I8"</f>
        <v>#VALUE!</v>
      </c>
      <c r="IS12" t="e">
        <f ca="1">Time!V55+"VCW!I9"</f>
        <v>#VALUE!</v>
      </c>
      <c r="IT12" t="e">
        <f ca="1">Time!W55+"VCW!I:"</f>
        <v>#VALUE!</v>
      </c>
      <c r="IU12" t="e">
        <f ca="1">Time!X55+"VCW!I;"</f>
        <v>#VALUE!</v>
      </c>
      <c r="IV12" t="e">
        <f ca="1">Time!Y55+"VCW!I&lt;"</f>
        <v>#VALUE!</v>
      </c>
    </row>
    <row r="13" spans="1:256" x14ac:dyDescent="0.2">
      <c r="F13" t="e">
        <f ca="1">Time!Z55+"VCW!I="</f>
        <v>#VALUE!</v>
      </c>
      <c r="G13" t="e">
        <f ca="1">Time!AA55+"VCW!I&gt;"</f>
        <v>#VALUE!</v>
      </c>
      <c r="H13" t="e">
        <f ca="1">Time!AB55+"VCW!I?"</f>
        <v>#VALUE!</v>
      </c>
      <c r="I13" t="e">
        <f ca="1">Time!AC55+"VCW!I@"</f>
        <v>#VALUE!</v>
      </c>
      <c r="J13" t="e">
        <f ca="1">Time!AD55+"VCW!IA"</f>
        <v>#VALUE!</v>
      </c>
      <c r="K13" t="e">
        <f ca="1">Time!AE55+"VCW!IB"</f>
        <v>#VALUE!</v>
      </c>
      <c r="L13" t="e">
        <f ca="1">Time!AF55+"VCW!IC"</f>
        <v>#VALUE!</v>
      </c>
      <c r="M13" t="e">
        <f ca="1">Time!AG55+"VCW!ID"</f>
        <v>#VALUE!</v>
      </c>
      <c r="N13" t="e">
        <f ca="1">Time!AH55+"VCW!IE"</f>
        <v>#VALUE!</v>
      </c>
      <c r="O13" t="e">
        <f ca="1">Time!AI55+"VCW!IF"</f>
        <v>#VALUE!</v>
      </c>
      <c r="P13" t="e">
        <f ca="1">Time!AJ55+"VCW!IG"</f>
        <v>#VALUE!</v>
      </c>
      <c r="Q13" t="e">
        <f ca="1">Time!AK55+"VCW!IH"</f>
        <v>#VALUE!</v>
      </c>
      <c r="R13" t="e">
        <f ca="1">Time!AL55+"VCW!II"</f>
        <v>#VALUE!</v>
      </c>
      <c r="S13" t="e">
        <f ca="1">Time!AM55+"VCW!IJ"</f>
        <v>#VALUE!</v>
      </c>
      <c r="T13" t="e">
        <f ca="1">Time!AN55+"VCW!IK"</f>
        <v>#VALUE!</v>
      </c>
      <c r="U13" t="e">
        <f ca="1">Time!AO55+"VCW!IL"</f>
        <v>#VALUE!</v>
      </c>
      <c r="V13" t="e">
        <f ca="1">Time!AP55+"VCW!IM"</f>
        <v>#VALUE!</v>
      </c>
      <c r="W13" t="e">
        <f ca="1">Time!AQ55+"VCW!IN"</f>
        <v>#VALUE!</v>
      </c>
      <c r="X13" t="e">
        <f ca="1">Time!AR55+"VCW!IO"</f>
        <v>#VALUE!</v>
      </c>
      <c r="Y13" t="e">
        <f ca="1">Time!AS55+"VCW!IP"</f>
        <v>#VALUE!</v>
      </c>
      <c r="Z13" t="e">
        <f ca="1">Time!AT55+"VCW!IQ"</f>
        <v>#VALUE!</v>
      </c>
      <c r="AA13" t="e">
        <f ca="1">Time!AU55+"VCW!IR"</f>
        <v>#VALUE!</v>
      </c>
      <c r="AB13" t="e">
        <f ca="1">Time!AV55+"VCW!IS"</f>
        <v>#VALUE!</v>
      </c>
      <c r="AC13" t="e">
        <f ca="1">Time!AW55+"VCW!IT"</f>
        <v>#VALUE!</v>
      </c>
      <c r="AD13" t="e">
        <f ca="1">Time!AX55+"VCW!IU"</f>
        <v>#VALUE!</v>
      </c>
      <c r="AE13" t="e">
        <f ca="1">Time!AY55+"VCW!IV"</f>
        <v>#VALUE!</v>
      </c>
      <c r="AF13" t="e">
        <f ca="1">Time!AZ55+"VCW!IW"</f>
        <v>#VALUE!</v>
      </c>
      <c r="AG13" t="e">
        <f ca="1">Time!BA55+"VCW!IX"</f>
        <v>#VALUE!</v>
      </c>
      <c r="AH13" t="e">
        <f ca="1">Time!BB55+"VCW!IY"</f>
        <v>#VALUE!</v>
      </c>
      <c r="AI13" t="e">
        <f ca="1">Time!BC55+"VCW!IZ"</f>
        <v>#VALUE!</v>
      </c>
      <c r="AJ13" t="e">
        <f ca="1">Time!BD55+"VCW!I["</f>
        <v>#VALUE!</v>
      </c>
      <c r="AK13" t="e">
        <f ca="1">Time!BE55+"VCW!I\"</f>
        <v>#VALUE!</v>
      </c>
      <c r="AL13" t="e">
        <f ca="1">Time!BF55+"VCW!I]"</f>
        <v>#VALUE!</v>
      </c>
      <c r="AM13" t="e">
        <f ca="1">Time!BG55+"VCW!I^"</f>
        <v>#VALUE!</v>
      </c>
      <c r="AN13" t="e">
        <f ca="1">Time!BH55+"VCW!I_"</f>
        <v>#VALUE!</v>
      </c>
      <c r="AO13" t="e">
        <f ca="1">Time!BI55+"VCW!I`"</f>
        <v>#VALUE!</v>
      </c>
      <c r="AP13" t="e">
        <f ca="1">Time!BJ55+"VCW!Ia"</f>
        <v>#VALUE!</v>
      </c>
      <c r="AQ13" t="e">
        <f ca="1">Time!BK55+"VCW!Ib"</f>
        <v>#VALUE!</v>
      </c>
      <c r="AR13" t="e">
        <f ca="1">Time!BL55+"VCW!Ic"</f>
        <v>#VALUE!</v>
      </c>
      <c r="AS13" t="e">
        <f ca="1">Time!BM55+"VCW!Id"</f>
        <v>#VALUE!</v>
      </c>
      <c r="AT13" t="e">
        <f ca="1">Time!BN55+"VCW!Ie"</f>
        <v>#VALUE!</v>
      </c>
      <c r="AU13" t="e">
        <f ca="1">Time!BO55+"VCW!If"</f>
        <v>#VALUE!</v>
      </c>
      <c r="AV13" t="e">
        <f ca="1">Time!BP55+"VCW!Ig"</f>
        <v>#VALUE!</v>
      </c>
      <c r="AW13" t="e">
        <f ca="1">Time!BQ55+"VCW!Ih"</f>
        <v>#VALUE!</v>
      </c>
      <c r="AX13" t="e">
        <f ca="1">Time!BR55+"VCW!Ii"</f>
        <v>#VALUE!</v>
      </c>
      <c r="AY13" t="e">
        <f ca="1">Time!BS55+"VCW!Ij"</f>
        <v>#VALUE!</v>
      </c>
      <c r="AZ13" t="e">
        <f ca="1">Time!BT55+"VCW!Ik"</f>
        <v>#VALUE!</v>
      </c>
      <c r="BA13" t="e">
        <f ca="1">Time!BU55+"VCW!Il"</f>
        <v>#VALUE!</v>
      </c>
      <c r="BB13" t="e">
        <f ca="1">Time!BV55+"VCW!Im"</f>
        <v>#VALUE!</v>
      </c>
      <c r="BC13" t="e">
        <f ca="1">Time!BW55+"VCW!In"</f>
        <v>#VALUE!</v>
      </c>
      <c r="BD13" t="e">
        <f ca="1">Time!BX55+"VCW!Io"</f>
        <v>#VALUE!</v>
      </c>
      <c r="BE13" t="e">
        <f ca="1">Time!BY55+"VCW!Ip"</f>
        <v>#VALUE!</v>
      </c>
      <c r="BF13" t="e">
        <f ca="1">Temp!A:A*"VCW!Iq"</f>
        <v>#VALUE!</v>
      </c>
      <c r="BG13" t="e">
        <f ca="1">Temp!B:B*"VCW!Ir"</f>
        <v>#VALUE!</v>
      </c>
      <c r="BH13" t="e">
        <f ca="1">Temp!C:C*"VCW!Is"</f>
        <v>#VALUE!</v>
      </c>
      <c r="BI13" t="e">
        <f ca="1">Temp!D:D*"VCW!It"</f>
        <v>#VALUE!</v>
      </c>
      <c r="BJ13" t="e">
        <f ca="1">Temp!E:E*"VCW!Iu"</f>
        <v>#VALUE!</v>
      </c>
      <c r="BK13" t="e">
        <f ca="1">Temp!F:F*"VCW!Iv"</f>
        <v>#VALUE!</v>
      </c>
      <c r="BL13" t="e">
        <f ca="1">Temp!G:G*"VCW!Iw"</f>
        <v>#VALUE!</v>
      </c>
      <c r="BM13" t="e">
        <f ca="1">Temp!H:H*"VCW!Ix"</f>
        <v>#VALUE!</v>
      </c>
      <c r="BN13" t="e">
        <f ca="1">Temp!I:I*"VCW!Iy"</f>
        <v>#VALUE!</v>
      </c>
      <c r="BO13" t="e">
        <f ca="1">Temp!J:J*"VCW!Iz"</f>
        <v>#VALUE!</v>
      </c>
      <c r="BP13" t="e">
        <f ca="1">Temp!K:K*"VCW!I{"</f>
        <v>#VALUE!</v>
      </c>
      <c r="BQ13" t="e">
        <f ca="1">Temp!L:L*"VCW!I|"</f>
        <v>#VALUE!</v>
      </c>
      <c r="BR13" t="e">
        <f ca="1">Temp!M:M*"VCW!I}"</f>
        <v>#VALUE!</v>
      </c>
      <c r="BS13" t="e">
        <f ca="1">Temp!N:N*"VCW!I~"</f>
        <v>#VALUE!</v>
      </c>
      <c r="BT13" t="e">
        <f ca="1">Temp!O:O*"VCW!J#"</f>
        <v>#VALUE!</v>
      </c>
      <c r="BU13" t="e">
        <f ca="1">Temp!P:P*"VCW!J$"</f>
        <v>#VALUE!</v>
      </c>
      <c r="BV13" t="e">
        <f ca="1">Temp!Q:Q*"VCW!J%"</f>
        <v>#VALUE!</v>
      </c>
      <c r="BW13" t="e">
        <f ca="1">Temp!R:R*"VCW!J&amp;"</f>
        <v>#VALUE!</v>
      </c>
      <c r="BX13" t="e">
        <f ca="1">Temp!S:S*"VCW!J'"</f>
        <v>#VALUE!</v>
      </c>
      <c r="BY13" t="e">
        <f ca="1">Temp!T:T*"VCW!J("</f>
        <v>#VALUE!</v>
      </c>
      <c r="BZ13" t="e">
        <f ca="1">Temp!U:U*"VCW!J)"</f>
        <v>#VALUE!</v>
      </c>
      <c r="CA13" t="e">
        <f ca="1">Temp!V:V*"VCW!J."</f>
        <v>#VALUE!</v>
      </c>
      <c r="CB13" t="e">
        <f ca="1">Temp!W:W*"VCW!J/"</f>
        <v>#VALUE!</v>
      </c>
      <c r="CC13" t="e">
        <f ca="1">Temp!X:X*"VCW!J0"</f>
        <v>#VALUE!</v>
      </c>
      <c r="CD13" t="e">
        <f ca="1">Temp!Y:Y*"VCW!J1"</f>
        <v>#VALUE!</v>
      </c>
      <c r="CE13" t="e">
        <f ca="1">Temp!Z:Z*"VCW!J2"</f>
        <v>#VALUE!</v>
      </c>
      <c r="CF13" t="e">
        <f ca="1">Temp!AA:AA*"VCW!J3"</f>
        <v>#VALUE!</v>
      </c>
      <c r="CG13" t="e">
        <f ca="1">Temp!AB:AB*"VCW!J4"</f>
        <v>#VALUE!</v>
      </c>
      <c r="CH13" t="e">
        <f ca="1">Temp!AC:AC*"VCW!J5"</f>
        <v>#VALUE!</v>
      </c>
      <c r="CI13" t="e">
        <f ca="1">Temp!AD:AD*"VCW!J6"</f>
        <v>#VALUE!</v>
      </c>
      <c r="CJ13" t="e">
        <f ca="1">Temp!AE:AE*"VCW!J7"</f>
        <v>#VALUE!</v>
      </c>
      <c r="CK13" t="e">
        <f ca="1">Temp!AF:AF*"VCW!J8"</f>
        <v>#VALUE!</v>
      </c>
      <c r="CL13" t="e">
        <f ca="1">Temp!AG:AG*"VCW!J9"</f>
        <v>#VALUE!</v>
      </c>
      <c r="CM13" t="e">
        <f ca="1">Temp!AH:AH*"VCW!J:"</f>
        <v>#VALUE!</v>
      </c>
      <c r="CN13" t="e">
        <f ca="1">Temp!AI:AI*"VCW!J;"</f>
        <v>#VALUE!</v>
      </c>
      <c r="CO13" t="e">
        <f ca="1">Temp!AJ:AJ*"VCW!J&lt;"</f>
        <v>#VALUE!</v>
      </c>
      <c r="CP13" t="e">
        <f ca="1">Temp!AK:AK*"VCW!J="</f>
        <v>#VALUE!</v>
      </c>
      <c r="CQ13" t="e">
        <f ca="1">Temp!AL:AL*"VCW!J&gt;"</f>
        <v>#VALUE!</v>
      </c>
      <c r="CR13" t="e">
        <f ca="1">Temp!AM:AM*"VCW!J?"</f>
        <v>#VALUE!</v>
      </c>
      <c r="CS13" t="e">
        <f ca="1">Temp!AN:AN*"VCW!J@"</f>
        <v>#VALUE!</v>
      </c>
      <c r="CT13" t="e">
        <f ca="1">Temp!AO:AO*"VCW!JA"</f>
        <v>#VALUE!</v>
      </c>
      <c r="CU13" t="e">
        <f ca="1">Temp!AP:AP*"VCW!JB"</f>
        <v>#VALUE!</v>
      </c>
      <c r="CV13" t="e">
        <f ca="1">Temp!AQ:AQ*"VCW!JC"</f>
        <v>#VALUE!</v>
      </c>
      <c r="CW13" t="e">
        <f ca="1">Temp!AR:AR*"VCW!JD"</f>
        <v>#VALUE!</v>
      </c>
      <c r="CX13" t="e">
        <f ca="1">Temp!AS:AS*"VCW!JE"</f>
        <v>#VALUE!</v>
      </c>
      <c r="CY13" t="e">
        <f ca="1">Temp!AT:AT*"VCW!JF"</f>
        <v>#VALUE!</v>
      </c>
      <c r="CZ13" t="e">
        <f ca="1">Temp!AU:AU*"VCW!JG"</f>
        <v>#VALUE!</v>
      </c>
      <c r="DA13" t="e">
        <f ca="1">Temp!AV:AV*"VCW!JH"</f>
        <v>#VALUE!</v>
      </c>
      <c r="DB13" t="e">
        <f ca="1">Temp!AW:AW*"VCW!JI"</f>
        <v>#VALUE!</v>
      </c>
      <c r="DC13" t="e">
        <f ca="1">Temp!AX:AX*"VCW!JJ"</f>
        <v>#VALUE!</v>
      </c>
      <c r="DD13" t="e">
        <f ca="1">Temp!AY:AY*"VCW!JK"</f>
        <v>#VALUE!</v>
      </c>
      <c r="DE13" t="e">
        <f ca="1">Temp!AZ:AZ*"VCW!JL"</f>
        <v>#VALUE!</v>
      </c>
      <c r="DF13" t="e">
        <f ca="1">Temp!BA:BA*"VCW!JM"</f>
        <v>#VALUE!</v>
      </c>
      <c r="DG13" t="e">
        <f ca="1">Temp!BB:BB*"VCW!JN"</f>
        <v>#VALUE!</v>
      </c>
      <c r="DH13" t="e">
        <f ca="1">Temp!BC:BC*"VCW!JO"</f>
        <v>#VALUE!</v>
      </c>
      <c r="DI13" t="e">
        <f ca="1">Temp!BD:BD*"VCW!JP"</f>
        <v>#VALUE!</v>
      </c>
      <c r="DJ13" t="e">
        <f ca="1">Temp!BE:BE*"VCW!JQ"</f>
        <v>#VALUE!</v>
      </c>
      <c r="DK13" t="e">
        <f ca="1">Temp!BF:BF*"VCW!JR"</f>
        <v>#VALUE!</v>
      </c>
      <c r="DL13" t="e">
        <f ca="1">Temp!BG:BG*"VCW!JS"</f>
        <v>#VALUE!</v>
      </c>
      <c r="DM13" t="e">
        <f ca="1">Temp!BH:BH*"VCW!JT"</f>
        <v>#VALUE!</v>
      </c>
      <c r="DN13" t="e">
        <f ca="1">Temp!BI:BI*"VCW!JU"</f>
        <v>#VALUE!</v>
      </c>
      <c r="DO13" t="e">
        <f ca="1">Temp!BJ:BJ*"VCW!JV"</f>
        <v>#VALUE!</v>
      </c>
      <c r="DP13" t="e">
        <f ca="1">Temp!BK:BK*"VCW!JW"</f>
        <v>#VALUE!</v>
      </c>
      <c r="DQ13" t="e">
        <f ca="1">Temp!BL:BL*"VCW!JX"</f>
        <v>#VALUE!</v>
      </c>
      <c r="DR13" t="e">
        <f ca="1">Temp!BM:BM*"VCW!JY"</f>
        <v>#VALUE!</v>
      </c>
      <c r="DS13" t="e">
        <f ca="1">Temp!BN:BN*"VCW!JZ"</f>
        <v>#VALUE!</v>
      </c>
      <c r="DT13" t="e">
        <f ca="1">Temp!BO:BO*"VCW!J["</f>
        <v>#VALUE!</v>
      </c>
      <c r="DU13" t="e">
        <f ca="1">Temp!BP:BP*"VCW!J\"</f>
        <v>#VALUE!</v>
      </c>
      <c r="DV13" t="e">
        <f ca="1">Temp!BQ:BQ*"VCW!J]"</f>
        <v>#VALUE!</v>
      </c>
      <c r="DW13" t="e">
        <f ca="1">Temp!BR:BR*"VCW!J^"</f>
        <v>#VALUE!</v>
      </c>
      <c r="DX13" t="e">
        <f ca="1">Temp!BS:BS*"VCW!J_"</f>
        <v>#VALUE!</v>
      </c>
      <c r="DY13" t="e">
        <f ca="1">Temp!BT:BT*"VCW!J`"</f>
        <v>#VALUE!</v>
      </c>
      <c r="DZ13" t="e">
        <f ca="1">Temp!BU:BU*"VCW!Ja"</f>
        <v>#VALUE!</v>
      </c>
      <c r="EA13" t="e">
        <f ca="1">Temp!BV:BV*"VCW!Jb"</f>
        <v>#VALUE!</v>
      </c>
      <c r="EB13" t="e">
        <f ca="1">Temp!BW:BW*"VCW!Jc"</f>
        <v>#VALUE!</v>
      </c>
      <c r="EC13" t="e">
        <f ca="1">Temp!BX:BX*"VCW!Jd"</f>
        <v>#VALUE!</v>
      </c>
      <c r="ED13" t="e">
        <f ca="1">Temp!BY:BY*"VCW!Je"</f>
        <v>#VALUE!</v>
      </c>
      <c r="EE13" t="e">
        <f ca="1">Temp!BZ:BZ*"VCW!Jf"</f>
        <v>#VALUE!</v>
      </c>
      <c r="EF13" t="e">
        <f ca="1">Temp!CA:CA*"VCW!Jg"</f>
        <v>#VALUE!</v>
      </c>
      <c r="EG13" t="e">
        <f ca="1">Temp!CB:CB*"VCW!Jh"</f>
        <v>#VALUE!</v>
      </c>
      <c r="EH13" t="e">
        <f ca="1">Temp!CC:CC*"VCW!Ji"</f>
        <v>#VALUE!</v>
      </c>
      <c r="EI13" t="e">
        <f ca="1">Temp!CD:CD*"VCW!Jj"</f>
        <v>#VALUE!</v>
      </c>
      <c r="EJ13" t="e">
        <f ca="1">Temp!CE:CE*"VCW!Jk"</f>
        <v>#VALUE!</v>
      </c>
      <c r="EK13" t="e">
        <f ca="1">Temp!CF:CF*"VCW!Jl"</f>
        <v>#VALUE!</v>
      </c>
      <c r="EL13" t="e">
        <f ca="1">Temp!CG:CG*"VCW!Jm"</f>
        <v>#VALUE!</v>
      </c>
      <c r="EM13" t="e">
        <f ca="1">Temp!CH:CH*"VCW!Jn"</f>
        <v>#VALUE!</v>
      </c>
      <c r="EN13" t="e">
        <f ca="1">Temp!CI:CI*"VCW!Jo"</f>
        <v>#VALUE!</v>
      </c>
      <c r="EO13" t="e">
        <f ca="1">Temp!CJ:CJ*"VCW!Jp"</f>
        <v>#VALUE!</v>
      </c>
      <c r="EP13" t="e">
        <f ca="1">Temp!CK:CK*"VCW!Jq"</f>
        <v>#VALUE!</v>
      </c>
      <c r="EQ13" t="e">
        <f ca="1">Temp!CL:CL*"VCW!Jr"</f>
        <v>#VALUE!</v>
      </c>
      <c r="ER13" t="e">
        <f ca="1">Temp!CM:CM*"VCW!Js"</f>
        <v>#VALUE!</v>
      </c>
      <c r="ES13" t="e">
        <f ca="1">Temp!CN:CN*"VCW!Jt"</f>
        <v>#VALUE!</v>
      </c>
      <c r="ET13" t="e">
        <f ca="1">Temp!CO:CO*"VCW!Ju"</f>
        <v>#VALUE!</v>
      </c>
      <c r="EU13" t="e">
        <f ca="1">Temp!CP:CP*"VCW!Jv"</f>
        <v>#VALUE!</v>
      </c>
      <c r="EV13" t="e">
        <f ca="1">Temp!CQ:CQ*"VCW!Jw"</f>
        <v>#VALUE!</v>
      </c>
      <c r="EW13" t="e">
        <f ca="1">Temp!CR:CR*"VCW!Jx"</f>
        <v>#VALUE!</v>
      </c>
      <c r="EX13" t="e">
        <f ca="1">Temp!CS:CS*"VCW!Jy"</f>
        <v>#VALUE!</v>
      </c>
      <c r="EY13" t="e">
        <f ca="1">Temp!CT:CT*"VCW!Jz"</f>
        <v>#VALUE!</v>
      </c>
      <c r="EZ13" t="e">
        <f ca="1">Temp!CU:CU*"VCW!J{"</f>
        <v>#VALUE!</v>
      </c>
      <c r="FA13" t="e">
        <f ca="1">Temp!CV:CV*"VCW!J|"</f>
        <v>#VALUE!</v>
      </c>
      <c r="FB13" t="e">
        <f ca="1">Temp!CW:CW*"VCW!J}"</f>
        <v>#VALUE!</v>
      </c>
      <c r="FC13" t="e">
        <f ca="1">Temp!CX:CX*"VCW!J~"</f>
        <v>#VALUE!</v>
      </c>
      <c r="FD13" t="e">
        <f ca="1">Temp!CY:CY*"VCW!K#"</f>
        <v>#VALUE!</v>
      </c>
      <c r="FE13" t="e">
        <f ca="1">Temp!CZ:CZ*"VCW!K$"</f>
        <v>#VALUE!</v>
      </c>
      <c r="FF13" t="e">
        <f ca="1">Temp!DA:DA*"VCW!K%"</f>
        <v>#VALUE!</v>
      </c>
      <c r="FG13" t="e">
        <f ca="1">Temp!DB:DB*"VCW!K&amp;"</f>
        <v>#VALUE!</v>
      </c>
      <c r="FH13" t="e">
        <f ca="1">Temp!DC:DC*"VCW!K'"</f>
        <v>#VALUE!</v>
      </c>
      <c r="FI13" t="e">
        <f ca="1">Temp!DD:DD*"VCW!K("</f>
        <v>#VALUE!</v>
      </c>
      <c r="FJ13" t="e">
        <f ca="1">Temp!DE:DE*"VCW!K)"</f>
        <v>#VALUE!</v>
      </c>
      <c r="FK13" t="e">
        <f ca="1">Temp!DF:DF*"VCW!K."</f>
        <v>#VALUE!</v>
      </c>
      <c r="FL13" t="e">
        <f ca="1">Temp!DG:DG*"VCW!K/"</f>
        <v>#VALUE!</v>
      </c>
      <c r="FM13" t="e">
        <f ca="1">Temp!DH:DH*"VCW!K0"</f>
        <v>#VALUE!</v>
      </c>
      <c r="FN13" t="e">
        <f ca="1">Temp!DI:DI*"VCW!K1"</f>
        <v>#VALUE!</v>
      </c>
      <c r="FO13" t="e">
        <f ca="1">Temp!DJ:DJ*"VCW!K2"</f>
        <v>#VALUE!</v>
      </c>
      <c r="FP13" t="e">
        <f ca="1">Temp!DK:DK*"VCW!K3"</f>
        <v>#VALUE!</v>
      </c>
      <c r="FQ13" t="e">
        <f ca="1">Temp!DL:DL*"VCW!K4"</f>
        <v>#VALUE!</v>
      </c>
      <c r="FR13" t="e">
        <f ca="1">Temp!DM:DM*"VCW!K5"</f>
        <v>#VALUE!</v>
      </c>
      <c r="FS13" t="e">
        <f ca="1">Temp!DN:DN*"VCW!K6"</f>
        <v>#VALUE!</v>
      </c>
      <c r="FT13" t="e">
        <f ca="1">Temp!DO:DO*"VCW!K7"</f>
        <v>#VALUE!</v>
      </c>
      <c r="FU13" t="e">
        <f ca="1">Temp!DP:DP*"VCW!K8"</f>
        <v>#VALUE!</v>
      </c>
      <c r="FV13" t="e">
        <f ca="1">Temp!DQ:DQ*"VCW!K9"</f>
        <v>#VALUE!</v>
      </c>
      <c r="FW13" t="e">
        <f ca="1">Temp!DR:DR*"VCW!K:"</f>
        <v>#VALUE!</v>
      </c>
      <c r="FX13" t="e">
        <f ca="1">Temp!DS:DS*"VCW!K;"</f>
        <v>#VALUE!</v>
      </c>
      <c r="FY13" t="e">
        <f ca="1">Temp!DT:DT*"VCW!K&lt;"</f>
        <v>#VALUE!</v>
      </c>
      <c r="FZ13" t="e">
        <f ca="1">Temp!DU:DU*"VCW!K="</f>
        <v>#VALUE!</v>
      </c>
      <c r="GA13" t="e">
        <f ca="1">Temp!DV:DV*"VCW!K&gt;"</f>
        <v>#VALUE!</v>
      </c>
      <c r="GB13" t="e">
        <f ca="1">Temp!DW:DW*"VCW!K?"</f>
        <v>#VALUE!</v>
      </c>
      <c r="GC13" t="e">
        <f ca="1">Temp!1:1-"VCW!K@"</f>
        <v>#VALUE!</v>
      </c>
      <c r="GD13" t="e">
        <f ca="1">Temp!2:2-"VCW!KA"</f>
        <v>#VALUE!</v>
      </c>
      <c r="GE13" t="e">
        <f ca="1">Temp!3:3-"VCW!KB"</f>
        <v>#VALUE!</v>
      </c>
      <c r="GF13" t="e">
        <f ca="1">Temp!4:4-"VCW!KC"</f>
        <v>#VALUE!</v>
      </c>
      <c r="GG13" t="e">
        <f ca="1">Temp!5:5-"VCW!KD"</f>
        <v>#VALUE!</v>
      </c>
      <c r="GH13" t="e">
        <f ca="1">Temp!6:6-"VCW!KE"</f>
        <v>#VALUE!</v>
      </c>
      <c r="GI13" t="e">
        <f ca="1">Temp!7:7-"VCW!KF"</f>
        <v>#VALUE!</v>
      </c>
      <c r="GJ13" t="e">
        <f ca="1">Temp!8:8-"VCW!KG"</f>
        <v>#VALUE!</v>
      </c>
      <c r="GK13" t="e">
        <f ca="1">Temp!9:9-"VCW!KH"</f>
        <v>#VALUE!</v>
      </c>
      <c r="GL13" t="e">
        <f ca="1">Temp!10:10-"VCW!KI"</f>
        <v>#VALUE!</v>
      </c>
      <c r="GM13" t="e">
        <f ca="1">Temp!11:11-"VCW!KJ"</f>
        <v>#VALUE!</v>
      </c>
      <c r="GN13" t="e">
        <f ca="1">Temp!12:12-"VCW!KK"</f>
        <v>#VALUE!</v>
      </c>
      <c r="GO13" t="e">
        <f ca="1">Temp!13:13-"VCW!KL"</f>
        <v>#VALUE!</v>
      </c>
      <c r="GP13" t="e">
        <f ca="1">Temp!14:14-"VCW!KM"</f>
        <v>#VALUE!</v>
      </c>
      <c r="GQ13" t="e">
        <f ca="1">Temp!15:15-"VCW!KN"</f>
        <v>#VALUE!</v>
      </c>
      <c r="GR13" t="e">
        <f ca="1">Temp!16:16-"VCW!KO"</f>
        <v>#VALUE!</v>
      </c>
      <c r="GS13" t="e">
        <f ca="1">Temp!17:17-"VCW!KP"</f>
        <v>#VALUE!</v>
      </c>
      <c r="GT13" t="e">
        <f ca="1">Temp!18:18-"VCW!KQ"</f>
        <v>#VALUE!</v>
      </c>
      <c r="GU13" t="e">
        <f ca="1">Temp!19:19-"VCW!KR"</f>
        <v>#VALUE!</v>
      </c>
      <c r="GV13" t="e">
        <f ca="1">Temp!20:20-"VCW!KS"</f>
        <v>#VALUE!</v>
      </c>
      <c r="GW13" t="e">
        <f ca="1">Temp!21:21-"VCW!KT"</f>
        <v>#VALUE!</v>
      </c>
      <c r="GX13" t="e">
        <f ca="1">Temp!22:22-"VCW!KU"</f>
        <v>#VALUE!</v>
      </c>
      <c r="GY13" t="e">
        <f ca="1">Temp!23:23-"VCW!KV"</f>
        <v>#VALUE!</v>
      </c>
      <c r="GZ13" t="e">
        <f ca="1">Temp!24:24-"VCW!KW"</f>
        <v>#VALUE!</v>
      </c>
      <c r="HA13" t="e">
        <f ca="1">Temp!25:25-"VCW!KX"</f>
        <v>#VALUE!</v>
      </c>
      <c r="HB13" t="e">
        <f ca="1">Temp!26:26-"VCW!KY"</f>
        <v>#VALUE!</v>
      </c>
      <c r="HC13" t="e">
        <f ca="1">Temp!27:27-"VCW!KZ"</f>
        <v>#VALUE!</v>
      </c>
      <c r="HD13" t="e">
        <f ca="1">Temp!28:28-"VCW!K["</f>
        <v>#VALUE!</v>
      </c>
      <c r="HE13" t="e">
        <f ca="1">Temp!29:29-"VCW!K\"</f>
        <v>#VALUE!</v>
      </c>
      <c r="HF13" t="e">
        <f ca="1">Temp!30:30-"VCW!K]"</f>
        <v>#VALUE!</v>
      </c>
      <c r="HG13" t="e">
        <f ca="1">Temp!31:31-"VCW!K^"</f>
        <v>#VALUE!</v>
      </c>
      <c r="HH13" t="e">
        <f ca="1">Temp!32:32-"VCW!K_"</f>
        <v>#VALUE!</v>
      </c>
      <c r="HI13" t="e">
        <f ca="1">Temp!33:33-"VCW!K`"</f>
        <v>#VALUE!</v>
      </c>
      <c r="HJ13" t="e">
        <f ca="1">Temp!34:34-"VCW!Ka"</f>
        <v>#VALUE!</v>
      </c>
      <c r="HK13" t="e">
        <f ca="1">Temp!35:35-"VCW!Kb"</f>
        <v>#VALUE!</v>
      </c>
      <c r="HL13" t="e">
        <f ca="1">Temp!36:36-"VCW!Kc"</f>
        <v>#VALUE!</v>
      </c>
      <c r="HM13" t="e">
        <f ca="1">Temp!37:37-"VCW!Kd"</f>
        <v>#VALUE!</v>
      </c>
      <c r="HN13" t="e">
        <f ca="1">Temp!38:38-"VCW!Ke"</f>
        <v>#VALUE!</v>
      </c>
      <c r="HO13" t="e">
        <f ca="1">Temp!39:39-"VCW!Kf"</f>
        <v>#VALUE!</v>
      </c>
      <c r="HP13" t="e">
        <f ca="1">Temp!40:40-"VCW!Kg"</f>
        <v>#VALUE!</v>
      </c>
      <c r="HQ13" t="e">
        <f ca="1">Temp!41:41-"VCW!Kh"</f>
        <v>#VALUE!</v>
      </c>
      <c r="HR13" t="e">
        <f ca="1">Temp!42:42-"VCW!Ki"</f>
        <v>#VALUE!</v>
      </c>
      <c r="HS13" t="e">
        <f ca="1">Temp!43:43-"VCW!Kj"</f>
        <v>#VALUE!</v>
      </c>
      <c r="HT13" t="e">
        <f ca="1">Temp!44:44-"VCW!Kk"</f>
        <v>#VALUE!</v>
      </c>
      <c r="HU13" t="e">
        <f ca="1">Temp!45:45-"VCW!Kl"</f>
        <v>#VALUE!</v>
      </c>
      <c r="HV13" t="e">
        <f ca="1">Temp!46:46-"VCW!Km"</f>
        <v>#VALUE!</v>
      </c>
      <c r="HW13" t="e">
        <f ca="1">Temp!47:47-"VCW!Kn"</f>
        <v>#VALUE!</v>
      </c>
      <c r="HX13" t="e">
        <f ca="1">Temp!48:48-"VCW!Ko"</f>
        <v>#VALUE!</v>
      </c>
      <c r="HY13" t="e">
        <f ca="1">Temp!49:49-"VCW!Kp"</f>
        <v>#VALUE!</v>
      </c>
      <c r="HZ13" t="e">
        <f ca="1">Temp!50:50-"VCW!Kq"</f>
        <v>#VALUE!</v>
      </c>
      <c r="IA13" t="e">
        <f ca="1">Temp!51:51-"VCW!Kr"</f>
        <v>#VALUE!</v>
      </c>
      <c r="IB13" t="e">
        <f ca="1">Temp!52:52-"VCW!Ks"</f>
        <v>#VALUE!</v>
      </c>
      <c r="IC13" t="e">
        <f ca="1">Temp!53:53-"VCW!Kt"</f>
        <v>#VALUE!</v>
      </c>
      <c r="ID13" t="e">
        <f ca="1">Temp!54:54-"VCW!Ku"</f>
        <v>#VALUE!</v>
      </c>
      <c r="IE13" t="e">
        <f ca="1">Temp!55:55-"VCW!Kv"</f>
        <v>#VALUE!</v>
      </c>
      <c r="IF13" t="e">
        <f ca="1">Temp!56:56-"VCW!Kw"</f>
        <v>#VALUE!</v>
      </c>
      <c r="IG13" t="e">
        <f ca="1">Temp!57:57-"VCW!Kx"</f>
        <v>#VALUE!</v>
      </c>
      <c r="IH13" t="e">
        <f ca="1">Temp!58:58-"VCW!Ky"</f>
        <v>#VALUE!</v>
      </c>
      <c r="II13" t="e">
        <f ca="1">Temp!59:59-"VCW!Kz"</f>
        <v>#VALUE!</v>
      </c>
      <c r="IJ13" t="e">
        <f ca="1">Temp!60:60-"VCW!K{"</f>
        <v>#VALUE!</v>
      </c>
      <c r="IK13" t="e">
        <f ca="1">Temp!61:61-"VCW!K|"</f>
        <v>#VALUE!</v>
      </c>
      <c r="IL13" t="e">
        <f ca="1">Temp!62:62-"VCW!K}"</f>
        <v>#VALUE!</v>
      </c>
      <c r="IM13" t="e">
        <f ca="1">Temp!63:63-"VCW!K~"</f>
        <v>#VALUE!</v>
      </c>
      <c r="IN13" t="e">
        <f ca="1">Temp!64:64-"VCW!L#"</f>
        <v>#VALUE!</v>
      </c>
      <c r="IO13" t="e">
        <f ca="1">Temp!65:65-"VCW!L$"</f>
        <v>#VALUE!</v>
      </c>
      <c r="IP13" t="e">
        <f ca="1">Temp!66:66-"VCW!L%"</f>
        <v>#VALUE!</v>
      </c>
      <c r="IQ13" t="e">
        <f ca="1">Temp!67:67-"VCW!L&amp;"</f>
        <v>#VALUE!</v>
      </c>
      <c r="IR13" t="e">
        <f ca="1">Temp!68:68-"VCW!L'"</f>
        <v>#VALUE!</v>
      </c>
      <c r="IS13" t="e">
        <f ca="1">Temp!69:69-"VCW!L("</f>
        <v>#VALUE!</v>
      </c>
      <c r="IT13" t="e">
        <f ca="1">Temp!70:70-"VCW!L)"</f>
        <v>#VALUE!</v>
      </c>
      <c r="IU13" t="e">
        <f ca="1">Temp!71:71-"VCW!L."</f>
        <v>#VALUE!</v>
      </c>
      <c r="IV13" t="e">
        <f ca="1">Temp!72:72-"VCW!L/"</f>
        <v>#VALUE!</v>
      </c>
    </row>
    <row r="14" spans="1:256" x14ac:dyDescent="0.2">
      <c r="F14" t="e">
        <f ca="1">Temp!73:73-"VCW!L0"</f>
        <v>#VALUE!</v>
      </c>
      <c r="G14" t="e">
        <f ca="1">Temp!74:74-"VCW!L1"</f>
        <v>#VALUE!</v>
      </c>
      <c r="H14" t="e">
        <f ca="1">Temp!75:75-"VCW!L2"</f>
        <v>#VALUE!</v>
      </c>
      <c r="I14" t="e">
        <f ca="1">Temp!76:76-"VCW!L3"</f>
        <v>#VALUE!</v>
      </c>
      <c r="J14" t="e">
        <f ca="1">Temp!77:77-"VCW!L4"</f>
        <v>#VALUE!</v>
      </c>
      <c r="K14" t="e">
        <f ca="1">Temp!78:78-"VCW!L5"</f>
        <v>#VALUE!</v>
      </c>
      <c r="L14" t="e">
        <f ca="1">Temp!79:79-"VCW!L6"</f>
        <v>#VALUE!</v>
      </c>
      <c r="M14" t="e">
        <f ca="1">Temp!80:80-"VCW!L7"</f>
        <v>#VALUE!</v>
      </c>
      <c r="N14" t="e">
        <f ca="1">Temp!81:81-"VCW!L8"</f>
        <v>#VALUE!</v>
      </c>
      <c r="O14" t="e">
        <f ca="1">Temp!82:82-"VCW!L9"</f>
        <v>#VALUE!</v>
      </c>
      <c r="P14" t="e">
        <f ca="1">Temp!83:83-"VCW!L:"</f>
        <v>#VALUE!</v>
      </c>
      <c r="Q14" t="e">
        <f ca="1">Temp!84:84-"VCW!L;"</f>
        <v>#VALUE!</v>
      </c>
      <c r="R14" t="e">
        <f ca="1">Temp!85:85-"VCW!L&lt;"</f>
        <v>#VALUE!</v>
      </c>
      <c r="S14" t="e">
        <f ca="1">Temp!86:86-"VCW!L="</f>
        <v>#VALUE!</v>
      </c>
      <c r="T14" t="e">
        <f ca="1">Temp!87:87-"VCW!L&gt;"</f>
        <v>#VALUE!</v>
      </c>
      <c r="U14" t="e">
        <f ca="1">Temp!88:88-"VCW!L?"</f>
        <v>#VALUE!</v>
      </c>
      <c r="V14" t="e">
        <f ca="1">Temp!89:89-"VCW!L@"</f>
        <v>#VALUE!</v>
      </c>
      <c r="W14" t="e">
        <f ca="1">Temp!90:90-"VCW!LA"</f>
        <v>#VALUE!</v>
      </c>
      <c r="X14" t="e">
        <f ca="1">Temp!91:91-"VCW!LB"</f>
        <v>#VALUE!</v>
      </c>
      <c r="Y14" t="e">
        <f ca="1">Temp!92:92-"VCW!LC"</f>
        <v>#VALUE!</v>
      </c>
      <c r="Z14" t="e">
        <f ca="1">Temp!93:93-"VCW!LD"</f>
        <v>#VALUE!</v>
      </c>
      <c r="AA14" t="e">
        <f ca="1">Temp!94:94-"VCW!LE"</f>
        <v>#VALUE!</v>
      </c>
      <c r="AB14" t="e">
        <f ca="1">Temp!95:95-"VCW!LF"</f>
        <v>#VALUE!</v>
      </c>
      <c r="AC14" t="e">
        <f ca="1">Temp!96:96-"VCW!LG"</f>
        <v>#VALUE!</v>
      </c>
      <c r="AD14" t="e">
        <f ca="1">Temp!97:97-"VCW!LH"</f>
        <v>#VALUE!</v>
      </c>
      <c r="AE14" t="e">
        <f ca="1">Temp!98:98-"VCW!LI"</f>
        <v>#VALUE!</v>
      </c>
      <c r="AF14" t="e">
        <f ca="1">Temp!99:99-"VCW!LJ"</f>
        <v>#VALUE!</v>
      </c>
      <c r="AG14" t="e">
        <f ca="1">Temp!100:100-"VCW!LK"</f>
        <v>#VALUE!</v>
      </c>
      <c r="AH14" t="e">
        <f ca="1">Temp!101:101-"VCW!LL"</f>
        <v>#VALUE!</v>
      </c>
      <c r="AI14" t="e">
        <f ca="1">Temp!102:102-"VCW!LM"</f>
        <v>#VALUE!</v>
      </c>
      <c r="AJ14" t="e">
        <f ca="1">Temp!103:103-"VCW!LN"</f>
        <v>#VALUE!</v>
      </c>
      <c r="AK14" t="e">
        <f ca="1">Temp!104:104-"VCW!LO"</f>
        <v>#VALUE!</v>
      </c>
      <c r="AL14" t="e">
        <f ca="1">Temp!105:105-"VCW!LP"</f>
        <v>#VALUE!</v>
      </c>
      <c r="AM14" t="e">
        <f ca="1">Temp!106:106-"VCW!LQ"</f>
        <v>#VALUE!</v>
      </c>
      <c r="AN14" t="e">
        <f ca="1">Temp!107:107-"VCW!LR"</f>
        <v>#VALUE!</v>
      </c>
      <c r="AO14" t="e">
        <f ca="1">Temp!108:108-"VCW!LS"</f>
        <v>#VALUE!</v>
      </c>
      <c r="AP14" t="e">
        <f ca="1">Temp!109:109-"VCW!LT"</f>
        <v>#VALUE!</v>
      </c>
      <c r="AQ14" t="e">
        <f ca="1">Temp!110:110-"VCW!LU"</f>
        <v>#VALUE!</v>
      </c>
      <c r="AR14" t="e">
        <f ca="1">Temp!111:111-"VCW!LV"</f>
        <v>#VALUE!</v>
      </c>
      <c r="AS14" t="e">
        <f ca="1">Temp!112:112-"VCW!LW"</f>
        <v>#VALUE!</v>
      </c>
      <c r="AT14" t="e">
        <f ca="1">Temp!113:113-"VCW!LX"</f>
        <v>#VALUE!</v>
      </c>
      <c r="AU14" t="e">
        <f ca="1">Temp!114:114-"VCW!LY"</f>
        <v>#VALUE!</v>
      </c>
      <c r="AV14" t="e">
        <f ca="1">Temp!115:115-"VCW!LZ"</f>
        <v>#VALUE!</v>
      </c>
      <c r="AW14" t="e">
        <f ca="1">Temp!116:116-"VCW!L["</f>
        <v>#VALUE!</v>
      </c>
      <c r="AX14" t="e">
        <f ca="1">Temp!117:117-"VCW!L\"</f>
        <v>#VALUE!</v>
      </c>
      <c r="AY14" t="e">
        <f ca="1">Temp!118:118-"VCW!L]"</f>
        <v>#VALUE!</v>
      </c>
      <c r="AZ14" t="e">
        <f ca="1">Temp!119:119-"VCW!L^"</f>
        <v>#VALUE!</v>
      </c>
      <c r="BA14" t="e">
        <f ca="1">Temp!120:120-"VCW!L_"</f>
        <v>#VALUE!</v>
      </c>
      <c r="BB14" t="e">
        <f ca="1">Temp!121:121-"VCW!L`"</f>
        <v>#VALUE!</v>
      </c>
      <c r="BC14" t="e">
        <f ca="1">Temp!122:122-"VCW!La"</f>
        <v>#VALUE!</v>
      </c>
      <c r="BD14" t="e">
        <f ca="1">Temp!123:123-"VCW!Lb"</f>
        <v>#VALUE!</v>
      </c>
      <c r="BE14" t="e">
        <f ca="1">Temp!124:124-"VCW!Lc"</f>
        <v>#VALUE!</v>
      </c>
      <c r="BF14" t="e">
        <f ca="1">Temp!125:125-"VCW!Ld"</f>
        <v>#VALUE!</v>
      </c>
      <c r="BG14" t="e">
        <f ca="1">Temp!126:126-"VCW!Le"</f>
        <v>#VALUE!</v>
      </c>
      <c r="BH14" t="e">
        <f ca="1">Temp!127:127-"VCW!Lf"</f>
        <v>#VALUE!</v>
      </c>
      <c r="BI14" t="e">
        <f ca="1">Temp!128:128-"VCW!Lg"</f>
        <v>#VALUE!</v>
      </c>
      <c r="BJ14" t="e">
        <f ca="1">Temp!129:129-"VCW!Lh"</f>
        <v>#VALUE!</v>
      </c>
      <c r="BK14" t="e">
        <f ca="1">Temp!130:130-"VCW!Li"</f>
        <v>#VALUE!</v>
      </c>
      <c r="BL14" t="e">
        <f ca="1">Temp!131:131-"VCW!Lj"</f>
        <v>#VALUE!</v>
      </c>
      <c r="BM14" t="e">
        <f ca="1">Temp!132:132-"VCW!Lk"</f>
        <v>#VALUE!</v>
      </c>
      <c r="BN14" t="e">
        <f ca="1">Temp!133:133-"VCW!Ll"</f>
        <v>#VALUE!</v>
      </c>
      <c r="BO14" t="e">
        <f ca="1">Temp!134:134-"VCW!Lm"</f>
        <v>#VALUE!</v>
      </c>
      <c r="BP14" t="e">
        <f ca="1">Temp!135:135-"VCW!Ln"</f>
        <v>#VALUE!</v>
      </c>
      <c r="BQ14" t="e">
        <f ca="1">Temp!136:136-"VCW!Lo"</f>
        <v>#VALUE!</v>
      </c>
      <c r="BR14" t="e">
        <f ca="1">Temp!137:137-"VCW!Lp"</f>
        <v>#VALUE!</v>
      </c>
      <c r="BS14" t="e">
        <f ca="1">Temp!138:138-"VCW!Lq"</f>
        <v>#VALUE!</v>
      </c>
      <c r="BT14" t="e">
        <f ca="1">Temp!139:139-"VCW!Lr"</f>
        <v>#VALUE!</v>
      </c>
      <c r="BU14" t="e">
        <f ca="1">Temp!140:140-"VCW!Ls"</f>
        <v>#VALUE!</v>
      </c>
      <c r="BV14" t="e">
        <f ca="1">Temp!141:141-"VCW!Lt"</f>
        <v>#VALUE!</v>
      </c>
      <c r="BW14" t="e">
        <f ca="1">Temp!142:142-"VCW!Lu"</f>
        <v>#VALUE!</v>
      </c>
      <c r="BX14" t="e">
        <f ca="1">Temp!143:143-"VCW!Lv"</f>
        <v>#VALUE!</v>
      </c>
      <c r="BY14" t="e">
        <f ca="1">Temp!144:144-"VCW!Lw"</f>
        <v>#VALUE!</v>
      </c>
      <c r="BZ14" t="e">
        <f ca="1">Temp!145:145-"VCW!Lx"</f>
        <v>#VALUE!</v>
      </c>
      <c r="CA14" t="e">
        <f ca="1">Temp!146:146-"VCW!Ly"</f>
        <v>#VALUE!</v>
      </c>
      <c r="CB14" t="e">
        <f ca="1">Temp!147:147-"VCW!Lz"</f>
        <v>#VALUE!</v>
      </c>
      <c r="CC14" t="e">
        <f ca="1">Temp!148:148-"VCW!L{"</f>
        <v>#VALUE!</v>
      </c>
      <c r="CD14" t="e">
        <f ca="1">Temp!149:149-"VCW!L|"</f>
        <v>#VALUE!</v>
      </c>
      <c r="CE14" t="e">
        <f ca="1">Temp!150:150-"VCW!L}"</f>
        <v>#VALUE!</v>
      </c>
      <c r="CF14" t="e">
        <f ca="1">Temp!151:151-"VCW!L~"</f>
        <v>#VALUE!</v>
      </c>
      <c r="CG14" t="e">
        <f ca="1">Temp!152:152-"VCW!M#"</f>
        <v>#VALUE!</v>
      </c>
      <c r="CH14" t="e">
        <f ca="1">Temp!153:153-"VCW!M$"</f>
        <v>#VALUE!</v>
      </c>
      <c r="CI14" t="e">
        <f ca="1">Temp!154:154-"VCW!M%"</f>
        <v>#VALUE!</v>
      </c>
      <c r="CJ14" t="e">
        <f ca="1">Temp!155:155-"VCW!M&amp;"</f>
        <v>#VALUE!</v>
      </c>
      <c r="CK14" t="e">
        <f ca="1">Temp!156:156-"VCW!M'"</f>
        <v>#VALUE!</v>
      </c>
      <c r="CL14" t="e">
        <f ca="1">Temp!157:157-"VCW!M("</f>
        <v>#VALUE!</v>
      </c>
      <c r="CM14" t="e">
        <f ca="1">Temp!158:158-"VCW!M)"</f>
        <v>#VALUE!</v>
      </c>
      <c r="CN14" t="e">
        <f ca="1">Temp!159:159-"VCW!M."</f>
        <v>#VALUE!</v>
      </c>
      <c r="CO14" t="e">
        <f ca="1">Temp!160:160-"VCW!M/"</f>
        <v>#VALUE!</v>
      </c>
      <c r="CP14" t="e">
        <f ca="1">Temp!161:161-"VCW!M0"</f>
        <v>#VALUE!</v>
      </c>
      <c r="CQ14" t="e">
        <f ca="1">Temp!162:162-"VCW!M1"</f>
        <v>#VALUE!</v>
      </c>
      <c r="CR14" t="e">
        <f ca="1">Temp!163:163-"VCW!M2"</f>
        <v>#VALUE!</v>
      </c>
      <c r="CS14" t="e">
        <f ca="1">Temp!164:164-"VCW!M3"</f>
        <v>#VALUE!</v>
      </c>
      <c r="CT14" t="e">
        <f ca="1">Temp!165:165-"VCW!M4"</f>
        <v>#VALUE!</v>
      </c>
      <c r="CU14" t="e">
        <f ca="1">Temp!166:166-"VCW!M5"</f>
        <v>#VALUE!</v>
      </c>
      <c r="CV14" t="e">
        <f ca="1">Temp!167:167-"VCW!M6"</f>
        <v>#VALUE!</v>
      </c>
      <c r="CW14" t="e">
        <f ca="1">Temp!168:168-"VCW!M7"</f>
        <v>#VALUE!</v>
      </c>
      <c r="CX14" t="e">
        <f ca="1">Temp!169:169-"VCW!M8"</f>
        <v>#VALUE!</v>
      </c>
      <c r="CY14" t="e">
        <f ca="1">Temp!170:170-"VCW!M9"</f>
        <v>#VALUE!</v>
      </c>
      <c r="CZ14" t="e">
        <f ca="1">Temp!171:171-"VCW!M:"</f>
        <v>#VALUE!</v>
      </c>
      <c r="DA14" t="e">
        <f ca="1">Temp!172:172-"VCW!M;"</f>
        <v>#VALUE!</v>
      </c>
      <c r="DB14" t="e">
        <f ca="1">Temp!173:173-"VCW!M&lt;"</f>
        <v>#VALUE!</v>
      </c>
      <c r="DC14" t="e">
        <f ca="1">Temp!174:174-"VCW!M="</f>
        <v>#VALUE!</v>
      </c>
      <c r="DD14" t="e">
        <f ca="1">Temp!175:175-"VCW!M&gt;"</f>
        <v>#VALUE!</v>
      </c>
      <c r="DE14" t="e">
        <f ca="1">Temp!176:176-"VCW!M?"</f>
        <v>#VALUE!</v>
      </c>
      <c r="DF14" t="e">
        <f ca="1">Temp!177:177-"VCW!M@"</f>
        <v>#VALUE!</v>
      </c>
      <c r="DG14" t="e">
        <f ca="1">Temp!178:178-"VCW!MA"</f>
        <v>#VALUE!</v>
      </c>
      <c r="DH14" t="e">
        <f ca="1">Temp!179:179-"VCW!MB"</f>
        <v>#VALUE!</v>
      </c>
      <c r="DI14" t="e">
        <f ca="1">Temp!180:180-"VCW!MC"</f>
        <v>#VALUE!</v>
      </c>
      <c r="DJ14" t="e">
        <f ca="1">Temp!181:181-"VCW!MD"</f>
        <v>#VALUE!</v>
      </c>
      <c r="DK14" t="e">
        <f ca="1">Temp!182:182-"VCW!ME"</f>
        <v>#VALUE!</v>
      </c>
      <c r="DL14" t="e">
        <f ca="1">Temp!183:183-"VCW!MF"</f>
        <v>#VALUE!</v>
      </c>
      <c r="DM14" t="e">
        <f ca="1">Temp!184:184-"VCW!MG"</f>
        <v>#VALUE!</v>
      </c>
      <c r="DN14" t="e">
        <f ca="1">Temp!185:185-"VCW!MH"</f>
        <v>#VALUE!</v>
      </c>
      <c r="DO14" t="e">
        <f ca="1">Temp!186:186-"VCW!MI"</f>
        <v>#VALUE!</v>
      </c>
      <c r="DP14" t="e">
        <f ca="1">Temp!187:187-"VCW!MJ"</f>
        <v>#VALUE!</v>
      </c>
      <c r="DQ14" t="e">
        <f ca="1">Temp!188:188-"VCW!MK"</f>
        <v>#VALUE!</v>
      </c>
      <c r="DR14" t="e">
        <f ca="1">Temp!189:189-"VCW!ML"</f>
        <v>#VALUE!</v>
      </c>
      <c r="DS14" t="e">
        <f ca="1">Temp!190:190-"VCW!MM"</f>
        <v>#VALUE!</v>
      </c>
      <c r="DT14" t="e">
        <f ca="1">Temp!191:191-"VCW!MN"</f>
        <v>#VALUE!</v>
      </c>
      <c r="DU14" t="e">
        <f ca="1">Temp!192:192-"VCW!MO"</f>
        <v>#VALUE!</v>
      </c>
      <c r="DV14" t="e">
        <f ca="1">Temp!193:193-"VCW!MP"</f>
        <v>#VALUE!</v>
      </c>
      <c r="DW14" t="e">
        <f ca="1">Temp!194:194-"VCW!MQ"</f>
        <v>#VALUE!</v>
      </c>
      <c r="DX14" t="e">
        <f ca="1">Temp!195:195-"VCW!MR"</f>
        <v>#VALUE!</v>
      </c>
      <c r="DY14" t="e">
        <f ca="1">Temp!196:196-"VCW!MS"</f>
        <v>#VALUE!</v>
      </c>
      <c r="DZ14" t="e">
        <f ca="1">Temp!197:197-"VCW!MT"</f>
        <v>#VALUE!</v>
      </c>
      <c r="EA14" t="e">
        <f ca="1">Temp!198:198-"VCW!MU"</f>
        <v>#VALUE!</v>
      </c>
      <c r="EB14" t="e">
        <f ca="1">Temp!199:199-"VCW!MV"</f>
        <v>#VALUE!</v>
      </c>
      <c r="EC14" t="e">
        <f ca="1">Temp!200:200-"VCW!MW"</f>
        <v>#VALUE!</v>
      </c>
      <c r="ED14" t="e">
        <f ca="1">Temp!201:201-"VCW!MX"</f>
        <v>#VALUE!</v>
      </c>
      <c r="EE14" t="e">
        <f ca="1">Temp!202:202-"VCW!MY"</f>
        <v>#VALUE!</v>
      </c>
      <c r="EF14" t="e">
        <f ca="1">Temp!203:203-"VCW!MZ"</f>
        <v>#VALUE!</v>
      </c>
      <c r="EG14" t="e">
        <f ca="1">Temp!204:204-"VCW!M["</f>
        <v>#VALUE!</v>
      </c>
      <c r="EH14" t="e">
        <f ca="1">Temp!205:205-"VCW!M\"</f>
        <v>#VALUE!</v>
      </c>
      <c r="EI14" t="e">
        <f ca="1">Temp!206:206-"VCW!M]"</f>
        <v>#VALUE!</v>
      </c>
      <c r="EJ14" t="e">
        <f ca="1">Temp!207:207-"VCW!M^"</f>
        <v>#VALUE!</v>
      </c>
      <c r="EK14" t="e">
        <f ca="1">Temp!208:208-"VCW!M_"</f>
        <v>#VALUE!</v>
      </c>
      <c r="EL14" t="e">
        <f ca="1">Temp!209:209-"VCW!M`"</f>
        <v>#VALUE!</v>
      </c>
      <c r="EM14" t="e">
        <f ca="1">Temp!210:210-"VCW!Ma"</f>
        <v>#VALUE!</v>
      </c>
      <c r="EN14" t="e">
        <f ca="1">Temp!211:211-"VCW!Mb"</f>
        <v>#VALUE!</v>
      </c>
      <c r="EO14" t="e">
        <f ca="1">Temp!212:212-"VCW!Mc"</f>
        <v>#VALUE!</v>
      </c>
      <c r="EP14" t="e">
        <f ca="1">Temp!213:213-"VCW!Md"</f>
        <v>#VALUE!</v>
      </c>
      <c r="EQ14" t="e">
        <f ca="1">Temp!214:214-"VCW!Me"</f>
        <v>#VALUE!</v>
      </c>
      <c r="ER14" t="e">
        <f ca="1">Temp!215:215-"VCW!Mf"</f>
        <v>#VALUE!</v>
      </c>
      <c r="ES14" t="e">
        <f ca="1">Temp!216:216-"VCW!Mg"</f>
        <v>#VALUE!</v>
      </c>
      <c r="ET14" t="e">
        <f ca="1">Temp!217:217-"VCW!Mh"</f>
        <v>#VALUE!</v>
      </c>
      <c r="EU14" t="e">
        <f ca="1">Temp!218:218-"VCW!Mi"</f>
        <v>#VALUE!</v>
      </c>
      <c r="EV14" t="e">
        <f ca="1">Temp!219:219-"VCW!Mj"</f>
        <v>#VALUE!</v>
      </c>
      <c r="EW14" t="e">
        <f ca="1">Temp!220:220-"VCW!Mk"</f>
        <v>#VALUE!</v>
      </c>
      <c r="EX14" t="e">
        <f ca="1">Temp!221:221-"VCW!Ml"</f>
        <v>#VALUE!</v>
      </c>
      <c r="EY14" t="e">
        <f ca="1">Temp!222:222-"VCW!Mm"</f>
        <v>#VALUE!</v>
      </c>
      <c r="EZ14" t="e">
        <f ca="1">Temp!223:223-"VCW!Mn"</f>
        <v>#VALUE!</v>
      </c>
      <c r="FA14" t="e">
        <f ca="1">Temp!224:224-"VCW!Mo"</f>
        <v>#VALUE!</v>
      </c>
      <c r="FB14" t="e">
        <f ca="1">Temp!225:225-"VCW!Mp"</f>
        <v>#VALUE!</v>
      </c>
      <c r="FC14" t="e">
        <f ca="1">Temp!226:226-"VCW!Mq"</f>
        <v>#VALUE!</v>
      </c>
      <c r="FD14" t="e">
        <f ca="1">Temp!227:227-"VCW!Mr"</f>
        <v>#VALUE!</v>
      </c>
      <c r="FE14" t="e">
        <f ca="1">Temp!228:228-"VCW!Ms"</f>
        <v>#VALUE!</v>
      </c>
      <c r="FF14" t="e">
        <f ca="1">Temp!229:229-"VCW!Mt"</f>
        <v>#VALUE!</v>
      </c>
      <c r="FG14" t="e">
        <f ca="1">Temp!230:230-"VCW!Mu"</f>
        <v>#VALUE!</v>
      </c>
      <c r="FH14" t="e">
        <f ca="1">Temp!231:231-"VCW!Mv"</f>
        <v>#VALUE!</v>
      </c>
      <c r="FI14" t="e">
        <f ca="1">Temp!232:232-"VCW!Mw"</f>
        <v>#VALUE!</v>
      </c>
      <c r="FJ14" t="e">
        <f ca="1">Temp!233:233-"VCW!Mx"</f>
        <v>#VALUE!</v>
      </c>
      <c r="FK14" t="e">
        <f ca="1">Temp!234:234-"VCW!My"</f>
        <v>#VALUE!</v>
      </c>
      <c r="FL14" t="e">
        <f ca="1">Temp!235:235-"VCW!Mz"</f>
        <v>#VALUE!</v>
      </c>
      <c r="FM14" t="e">
        <f ca="1">Temp!236:236-"VCW!M{"</f>
        <v>#VALUE!</v>
      </c>
      <c r="FN14" t="e">
        <f ca="1">Temp!237:237-"VCW!M|"</f>
        <v>#VALUE!</v>
      </c>
      <c r="FO14" t="e">
        <f ca="1">Temp!A1+"VCW!M}"</f>
        <v>#VALUE!</v>
      </c>
      <c r="FP14" t="e">
        <f ca="1">Temp!B1+"VCW!M~"</f>
        <v>#VALUE!</v>
      </c>
      <c r="FQ14" t="e">
        <f ca="1">Temp!C1+"VCW!N#"</f>
        <v>#VALUE!</v>
      </c>
      <c r="FR14" t="e">
        <f ca="1">Temp!D1+"VCW!N$"</f>
        <v>#VALUE!</v>
      </c>
      <c r="FS14" t="e">
        <f ca="1">Temp!E1+"VCW!N%"</f>
        <v>#VALUE!</v>
      </c>
      <c r="FT14" t="e">
        <f ca="1">Temp!F1+"VCW!N&amp;"</f>
        <v>#VALUE!</v>
      </c>
      <c r="FU14" t="e">
        <f ca="1">Temp!G1+"VCW!N'"</f>
        <v>#VALUE!</v>
      </c>
      <c r="FV14" t="e">
        <f ca="1">Temp!H1+"VCW!N("</f>
        <v>#VALUE!</v>
      </c>
      <c r="FW14" t="e">
        <f ca="1">Temp!I1+"VCW!N)"</f>
        <v>#VALUE!</v>
      </c>
      <c r="FX14" t="e">
        <f ca="1">Temp!J1+"VCW!N."</f>
        <v>#VALUE!</v>
      </c>
      <c r="FY14" t="e">
        <f ca="1">Temp!K1+"VCW!N/"</f>
        <v>#VALUE!</v>
      </c>
      <c r="FZ14" t="e">
        <f ca="1">Temp!L1+"VCW!N0"</f>
        <v>#VALUE!</v>
      </c>
      <c r="GA14" t="e">
        <f ca="1">Temp!M1+"VCW!N1"</f>
        <v>#VALUE!</v>
      </c>
      <c r="GB14" t="e">
        <f ca="1">Temp!N1+"VCW!N2"</f>
        <v>#VALUE!</v>
      </c>
      <c r="GC14" t="e">
        <f ca="1">Temp!O1+"VCW!N3"</f>
        <v>#VALUE!</v>
      </c>
      <c r="GD14" t="e">
        <f ca="1">Temp!P1+"VCW!N4"</f>
        <v>#VALUE!</v>
      </c>
      <c r="GE14" t="e">
        <f ca="1">Temp!Q1+"VCW!N5"</f>
        <v>#VALUE!</v>
      </c>
      <c r="GF14" t="e">
        <f ca="1">Temp!R1+"VCW!N6"</f>
        <v>#VALUE!</v>
      </c>
      <c r="GG14" t="e">
        <f ca="1">Temp!S1+"VCW!N7"</f>
        <v>#VALUE!</v>
      </c>
      <c r="GH14" t="e">
        <f ca="1">Temp!T1+"VCW!N8"</f>
        <v>#VALUE!</v>
      </c>
      <c r="GI14" t="e">
        <f ca="1">Temp!U1+"VCW!N9"</f>
        <v>#VALUE!</v>
      </c>
      <c r="GJ14" t="e">
        <f ca="1">Temp!V1+"VCW!N:"</f>
        <v>#VALUE!</v>
      </c>
      <c r="GK14" t="e">
        <f ca="1">Temp!W1+"VCW!N;"</f>
        <v>#VALUE!</v>
      </c>
      <c r="GL14" t="e">
        <f ca="1">Temp!X1+"VCW!N&lt;"</f>
        <v>#VALUE!</v>
      </c>
      <c r="GM14" t="e">
        <f ca="1">Temp!Y1+"VCW!N="</f>
        <v>#VALUE!</v>
      </c>
      <c r="GN14" t="e">
        <f ca="1">Temp!Z1+"VCW!N&gt;"</f>
        <v>#VALUE!</v>
      </c>
      <c r="GO14" t="e">
        <f ca="1">Temp!AA1+"VCW!N?"</f>
        <v>#VALUE!</v>
      </c>
      <c r="GP14" t="e">
        <f ca="1">Temp!AB1+"VCW!N@"</f>
        <v>#VALUE!</v>
      </c>
      <c r="GQ14" t="e">
        <f ca="1">Temp!AC1+"VCW!NA"</f>
        <v>#VALUE!</v>
      </c>
      <c r="GR14" t="e">
        <f ca="1">Temp!AD1+"VCW!NB"</f>
        <v>#VALUE!</v>
      </c>
      <c r="GS14" t="e">
        <f ca="1">Temp!AE1+"VCW!NC"</f>
        <v>#VALUE!</v>
      </c>
      <c r="GT14" t="e">
        <f ca="1">Temp!AF1+"VCW!ND"</f>
        <v>#VALUE!</v>
      </c>
      <c r="GU14" t="e">
        <f ca="1">Temp!AG1+"VCW!NE"</f>
        <v>#VALUE!</v>
      </c>
      <c r="GV14" t="e">
        <f ca="1">Temp!AH1+"VCW!NF"</f>
        <v>#VALUE!</v>
      </c>
      <c r="GW14" t="e">
        <f ca="1">Temp!AI1+"VCW!NG"</f>
        <v>#VALUE!</v>
      </c>
      <c r="GX14" t="e">
        <f ca="1">Temp!AJ1+"VCW!NH"</f>
        <v>#VALUE!</v>
      </c>
      <c r="GY14" t="e">
        <f ca="1">Temp!AK1+"VCW!NI"</f>
        <v>#VALUE!</v>
      </c>
      <c r="GZ14" t="e">
        <f ca="1">Temp!AL1+"VCW!NJ"</f>
        <v>#VALUE!</v>
      </c>
      <c r="HA14" t="e">
        <f ca="1">Temp!AM1+"VCW!NK"</f>
        <v>#VALUE!</v>
      </c>
      <c r="HB14" t="e">
        <f ca="1">Temp!AN1+"VCW!NL"</f>
        <v>#VALUE!</v>
      </c>
      <c r="HC14" t="e">
        <f ca="1">Temp!AO1+"VCW!NM"</f>
        <v>#VALUE!</v>
      </c>
      <c r="HD14" t="e">
        <f ca="1">Temp!AP1+"VCW!NN"</f>
        <v>#VALUE!</v>
      </c>
      <c r="HE14" t="e">
        <f ca="1">Temp!AQ1+"VCW!NO"</f>
        <v>#VALUE!</v>
      </c>
      <c r="HF14" t="e">
        <f ca="1">Temp!AR1+"VCW!NP"</f>
        <v>#VALUE!</v>
      </c>
      <c r="HG14" t="e">
        <f ca="1">Temp!AS1+"VCW!NQ"</f>
        <v>#VALUE!</v>
      </c>
      <c r="HH14" t="e">
        <f ca="1">Temp!AT1+"VCW!NR"</f>
        <v>#VALUE!</v>
      </c>
      <c r="HI14" t="e">
        <f ca="1">Temp!AU1+"VCW!NS"</f>
        <v>#VALUE!</v>
      </c>
      <c r="HJ14" t="e">
        <f ca="1">Temp!AV1+"VCW!NT"</f>
        <v>#VALUE!</v>
      </c>
      <c r="HK14" t="e">
        <f ca="1">Temp!AW1+"VCW!NU"</f>
        <v>#VALUE!</v>
      </c>
      <c r="HL14" t="e">
        <f ca="1">Temp!AX1+"VCW!NV"</f>
        <v>#VALUE!</v>
      </c>
      <c r="HM14" t="e">
        <f ca="1">Temp!AY1+"VCW!NW"</f>
        <v>#VALUE!</v>
      </c>
      <c r="HN14" t="e">
        <f ca="1">Temp!AZ1+"VCW!NX"</f>
        <v>#VALUE!</v>
      </c>
      <c r="HO14" t="e">
        <f ca="1">Temp!BA1+"VCW!NY"</f>
        <v>#VALUE!</v>
      </c>
      <c r="HP14" t="e">
        <f ca="1">Temp!BB1+"VCW!NZ"</f>
        <v>#VALUE!</v>
      </c>
      <c r="HQ14" t="e">
        <f ca="1">Temp!BC1+"VCW!N["</f>
        <v>#VALUE!</v>
      </c>
      <c r="HR14" t="e">
        <f ca="1">Temp!BD1+"VCW!N\"</f>
        <v>#VALUE!</v>
      </c>
      <c r="HS14" t="e">
        <f ca="1">Temp!BE1+"VCW!N]"</f>
        <v>#VALUE!</v>
      </c>
      <c r="HT14" t="e">
        <f ca="1">Temp!BF1+"VCW!N^"</f>
        <v>#VALUE!</v>
      </c>
      <c r="HU14" t="e">
        <f ca="1">Temp!BG1+"VCW!N_"</f>
        <v>#VALUE!</v>
      </c>
      <c r="HV14" t="e">
        <f ca="1">Temp!BH1+"VCW!N`"</f>
        <v>#VALUE!</v>
      </c>
      <c r="HW14" t="e">
        <f ca="1">Temp!BI1+"VCW!Na"</f>
        <v>#VALUE!</v>
      </c>
      <c r="HX14" t="e">
        <f ca="1">Temp!BJ1+"VCW!Nb"</f>
        <v>#VALUE!</v>
      </c>
      <c r="HY14" t="e">
        <f ca="1">Temp!BK1+"VCW!Nc"</f>
        <v>#VALUE!</v>
      </c>
      <c r="HZ14" t="e">
        <f ca="1">Temp!BL1+"VCW!Nd"</f>
        <v>#VALUE!</v>
      </c>
      <c r="IA14" t="e">
        <f ca="1">Temp!BM1+"VCW!Ne"</f>
        <v>#VALUE!</v>
      </c>
      <c r="IB14" t="e">
        <f ca="1">Temp!BN1+"VCW!Nf"</f>
        <v>#VALUE!</v>
      </c>
      <c r="IC14" t="e">
        <f ca="1">Temp!BO1+"VCW!Ng"</f>
        <v>#VALUE!</v>
      </c>
      <c r="ID14" t="e">
        <f ca="1">Temp!BP1+"VCW!Nh"</f>
        <v>#VALUE!</v>
      </c>
      <c r="IE14" t="e">
        <f ca="1">Temp!BQ1+"VCW!Ni"</f>
        <v>#VALUE!</v>
      </c>
      <c r="IF14" t="e">
        <f ca="1">Temp!BR1+"VCW!Nj"</f>
        <v>#VALUE!</v>
      </c>
      <c r="IG14" t="e">
        <f ca="1">Temp!BS1+"VCW!Nk"</f>
        <v>#VALUE!</v>
      </c>
      <c r="IH14" t="e">
        <f ca="1">Temp!BT1+"VCW!Nl"</f>
        <v>#VALUE!</v>
      </c>
      <c r="II14" t="e">
        <f ca="1">Temp!BU1+"VCW!Nm"</f>
        <v>#VALUE!</v>
      </c>
      <c r="IJ14" t="e">
        <f ca="1">Temp!BV1+"VCW!Nn"</f>
        <v>#VALUE!</v>
      </c>
      <c r="IK14" t="e">
        <f ca="1">Temp!BW1+"VCW!No"</f>
        <v>#VALUE!</v>
      </c>
      <c r="IL14" t="e">
        <f ca="1">Temp!BX1+"VCW!Np"</f>
        <v>#VALUE!</v>
      </c>
      <c r="IM14" t="e">
        <f ca="1">Temp!BY1+"VCW!Nq"</f>
        <v>#VALUE!</v>
      </c>
      <c r="IN14" t="e">
        <f ca="1">Temp!C2+"VCW!Nr"</f>
        <v>#VALUE!</v>
      </c>
      <c r="IO14" t="e">
        <f ca="1">Temp!D2+"VCW!Ns"</f>
        <v>#VALUE!</v>
      </c>
      <c r="IP14" t="e">
        <f ca="1">Temp!E2+"VCW!Nt"</f>
        <v>#VALUE!</v>
      </c>
      <c r="IQ14" t="e">
        <f ca="1">Temp!F2+"VCW!Nu"</f>
        <v>#VALUE!</v>
      </c>
      <c r="IR14" t="e">
        <f ca="1">Temp!G2+"VCW!Nv"</f>
        <v>#VALUE!</v>
      </c>
      <c r="IS14" t="e">
        <f ca="1">Temp!H2+"VCW!Nw"</f>
        <v>#VALUE!</v>
      </c>
      <c r="IT14" t="e">
        <f ca="1">Temp!J2+"VCW!Nx"</f>
        <v>#VALUE!</v>
      </c>
      <c r="IU14" t="e">
        <f ca="1">Temp!K2+"VCW!Ny"</f>
        <v>#VALUE!</v>
      </c>
      <c r="IV14" t="e">
        <f ca="1">Temp!L2+"VCW!Nz"</f>
        <v>#VALUE!</v>
      </c>
    </row>
    <row r="15" spans="1:256" x14ac:dyDescent="0.2">
      <c r="F15" t="e">
        <f ca="1">Temp!M2+"VCW!N{"</f>
        <v>#VALUE!</v>
      </c>
      <c r="G15" t="e">
        <f ca="1">Temp!N2+"VCW!N|"</f>
        <v>#VALUE!</v>
      </c>
      <c r="H15" t="e">
        <f ca="1">Temp!O2+"VCW!N}"</f>
        <v>#VALUE!</v>
      </c>
      <c r="I15" t="e">
        <f ca="1">Temp!P2+"VCW!N~"</f>
        <v>#VALUE!</v>
      </c>
      <c r="J15" t="e">
        <f ca="1">Temp!Q2+"VCW!O#"</f>
        <v>#VALUE!</v>
      </c>
      <c r="K15" t="e">
        <f ca="1">Temp!R2+"VCW!O$"</f>
        <v>#VALUE!</v>
      </c>
      <c r="L15" t="e">
        <f ca="1">Temp!S2+"VCW!O%"</f>
        <v>#VALUE!</v>
      </c>
      <c r="M15" t="e">
        <f ca="1">Temp!T2+"VCW!O&amp;"</f>
        <v>#VALUE!</v>
      </c>
      <c r="N15" t="e">
        <f ca="1">Temp!U2+"VCW!O'"</f>
        <v>#VALUE!</v>
      </c>
      <c r="O15" t="e">
        <f ca="1">Temp!V2+"VCW!O("</f>
        <v>#VALUE!</v>
      </c>
      <c r="P15" t="e">
        <f ca="1">Temp!W2+"VCW!O)"</f>
        <v>#VALUE!</v>
      </c>
      <c r="Q15" t="e">
        <f ca="1">Temp!X2+"VCW!O."</f>
        <v>#VALUE!</v>
      </c>
      <c r="R15" t="e">
        <f ca="1">Temp!Y2+"VCW!O/"</f>
        <v>#VALUE!</v>
      </c>
      <c r="S15" t="e">
        <f ca="1">Temp!Z2+"VCW!O0"</f>
        <v>#VALUE!</v>
      </c>
      <c r="T15" t="e">
        <f ca="1">Temp!AA2+"VCW!O1"</f>
        <v>#VALUE!</v>
      </c>
      <c r="U15" t="e">
        <f ca="1">Temp!AB2+"VCW!O2"</f>
        <v>#VALUE!</v>
      </c>
      <c r="V15" t="e">
        <f ca="1">Temp!AC2+"VCW!O3"</f>
        <v>#VALUE!</v>
      </c>
      <c r="W15" t="e">
        <f ca="1">Temp!AD2+"VCW!O4"</f>
        <v>#VALUE!</v>
      </c>
      <c r="X15" t="e">
        <f ca="1">Temp!AE2+"VCW!O5"</f>
        <v>#VALUE!</v>
      </c>
      <c r="Y15" t="e">
        <f ca="1">Temp!AF2+"VCW!O6"</f>
        <v>#VALUE!</v>
      </c>
      <c r="Z15" t="e">
        <f ca="1">Temp!AG2+"VCW!O7"</f>
        <v>#VALUE!</v>
      </c>
      <c r="AA15" t="e">
        <f ca="1">Temp!AH2+"VCW!O8"</f>
        <v>#VALUE!</v>
      </c>
      <c r="AB15" t="e">
        <f ca="1">Temp!AI2+"VCW!O9"</f>
        <v>#VALUE!</v>
      </c>
      <c r="AC15" t="e">
        <f ca="1">Temp!AJ2+"VCW!O:"</f>
        <v>#VALUE!</v>
      </c>
      <c r="AD15" t="e">
        <f ca="1">Temp!AK2+"VCW!O;"</f>
        <v>#VALUE!</v>
      </c>
      <c r="AE15" t="e">
        <f ca="1">Temp!AL2+"VCW!O&lt;"</f>
        <v>#VALUE!</v>
      </c>
      <c r="AF15" t="e">
        <f ca="1">Temp!AM2+"VCW!O="</f>
        <v>#VALUE!</v>
      </c>
      <c r="AG15" t="e">
        <f ca="1">Temp!AN2+"VCW!O&gt;"</f>
        <v>#VALUE!</v>
      </c>
      <c r="AH15" t="e">
        <f ca="1">Temp!AO2+"VCW!O?"</f>
        <v>#VALUE!</v>
      </c>
      <c r="AI15" t="e">
        <f ca="1">Temp!AP2+"VCW!O@"</f>
        <v>#VALUE!</v>
      </c>
      <c r="AJ15" t="e">
        <f ca="1">Temp!AQ2+"VCW!OA"</f>
        <v>#VALUE!</v>
      </c>
      <c r="AK15" t="e">
        <f ca="1">Temp!AR2+"VCW!OB"</f>
        <v>#VALUE!</v>
      </c>
      <c r="AL15" t="e">
        <f ca="1">Temp!AS2+"VCW!OC"</f>
        <v>#VALUE!</v>
      </c>
      <c r="AM15" t="e">
        <f ca="1">Temp!AT2+"VCW!OD"</f>
        <v>#VALUE!</v>
      </c>
      <c r="AN15" t="e">
        <f ca="1">Temp!AU2+"VCW!OE"</f>
        <v>#VALUE!</v>
      </c>
      <c r="AO15" t="e">
        <f ca="1">Temp!AV2+"VCW!OF"</f>
        <v>#VALUE!</v>
      </c>
      <c r="AP15" t="e">
        <f ca="1">Temp!AW2+"VCW!OG"</f>
        <v>#VALUE!</v>
      </c>
      <c r="AQ15" t="e">
        <f ca="1">Temp!AX2+"VCW!OH"</f>
        <v>#VALUE!</v>
      </c>
      <c r="AR15" t="e">
        <f ca="1">Temp!AY2+"VCW!OI"</f>
        <v>#VALUE!</v>
      </c>
      <c r="AS15" t="e">
        <f ca="1">Temp!AZ2+"VCW!OJ"</f>
        <v>#VALUE!</v>
      </c>
      <c r="AT15" t="e">
        <f ca="1">Temp!BA2+"VCW!OK"</f>
        <v>#VALUE!</v>
      </c>
      <c r="AU15" t="e">
        <f ca="1">Temp!BB2+"VCW!OL"</f>
        <v>#VALUE!</v>
      </c>
      <c r="AV15" t="e">
        <f ca="1">Temp!BC2+"VCW!OM"</f>
        <v>#VALUE!</v>
      </c>
      <c r="AW15" t="e">
        <f ca="1">Temp!BD2+"VCW!ON"</f>
        <v>#VALUE!</v>
      </c>
      <c r="AX15" t="e">
        <f ca="1">Temp!BE2+"VCW!OO"</f>
        <v>#VALUE!</v>
      </c>
      <c r="AY15" t="e">
        <f ca="1">Temp!BF2+"VCW!OP"</f>
        <v>#VALUE!</v>
      </c>
      <c r="AZ15" t="e">
        <f ca="1">Temp!BG2+"VCW!OQ"</f>
        <v>#VALUE!</v>
      </c>
      <c r="BA15" t="e">
        <f ca="1">Temp!BH2+"VCW!OR"</f>
        <v>#VALUE!</v>
      </c>
      <c r="BB15" t="e">
        <f ca="1">Temp!BI2+"VCW!OS"</f>
        <v>#VALUE!</v>
      </c>
      <c r="BC15" t="e">
        <f ca="1">Temp!BJ2+"VCW!OT"</f>
        <v>#VALUE!</v>
      </c>
      <c r="BD15" t="e">
        <f ca="1">Temp!BK2+"VCW!OU"</f>
        <v>#VALUE!</v>
      </c>
      <c r="BE15" t="e">
        <f ca="1">Temp!BL2+"VCW!OV"</f>
        <v>#VALUE!</v>
      </c>
      <c r="BF15" t="e">
        <f ca="1">Temp!BM2+"VCW!OW"</f>
        <v>#VALUE!</v>
      </c>
      <c r="BG15" t="e">
        <f ca="1">Temp!BN2+"VCW!OX"</f>
        <v>#VALUE!</v>
      </c>
      <c r="BH15" t="e">
        <f ca="1">Temp!BO2+"VCW!OY"</f>
        <v>#VALUE!</v>
      </c>
      <c r="BI15" t="e">
        <f ca="1">Temp!BP2+"VCW!OZ"</f>
        <v>#VALUE!</v>
      </c>
      <c r="BJ15" t="e">
        <f ca="1">Temp!BQ2+"VCW!O["</f>
        <v>#VALUE!</v>
      </c>
      <c r="BK15" t="e">
        <f ca="1">Temp!BR2+"VCW!O\"</f>
        <v>#VALUE!</v>
      </c>
      <c r="BL15" t="e">
        <f ca="1">Temp!BS2+"VCW!O]"</f>
        <v>#VALUE!</v>
      </c>
      <c r="BM15" t="e">
        <f ca="1">Temp!BT2+"VCW!O^"</f>
        <v>#VALUE!</v>
      </c>
      <c r="BN15" t="e">
        <f ca="1">Temp!BU2+"VCW!O_"</f>
        <v>#VALUE!</v>
      </c>
      <c r="BO15" t="e">
        <f ca="1">Temp!BV2+"VCW!O`"</f>
        <v>#VALUE!</v>
      </c>
      <c r="BP15" t="e">
        <f ca="1">Temp!BW2+"VCW!Oa"</f>
        <v>#VALUE!</v>
      </c>
      <c r="BQ15" t="e">
        <f ca="1">Temp!BX2+"VCW!Ob"</f>
        <v>#VALUE!</v>
      </c>
      <c r="BR15" t="e">
        <f ca="1">Temp!BY2+"VCW!Oc"</f>
        <v>#VALUE!</v>
      </c>
      <c r="BS15" t="e">
        <f ca="1">Temp!C3+"VCW!Od"</f>
        <v>#VALUE!</v>
      </c>
      <c r="BT15" t="e">
        <f ca="1">Temp!D3+"VCW!Oe"</f>
        <v>#VALUE!</v>
      </c>
      <c r="BU15" t="e">
        <f ca="1">Temp!E3+"VCW!Of"</f>
        <v>#VALUE!</v>
      </c>
      <c r="BV15" t="e">
        <f ca="1">Temp!F3+"VCW!Og"</f>
        <v>#VALUE!</v>
      </c>
      <c r="BW15" t="e">
        <f ca="1">Temp!G3+"VCW!Oh"</f>
        <v>#VALUE!</v>
      </c>
      <c r="BX15" t="e">
        <f ca="1">Temp!H3+"VCW!Oi"</f>
        <v>#VALUE!</v>
      </c>
      <c r="BY15" t="e">
        <f ca="1">Temp!J3+"VCW!Oj"</f>
        <v>#VALUE!</v>
      </c>
      <c r="BZ15" t="e">
        <f ca="1">Temp!K3+"VCW!Ok"</f>
        <v>#VALUE!</v>
      </c>
      <c r="CA15" t="e">
        <f ca="1">Temp!L3+"VCW!Ol"</f>
        <v>#VALUE!</v>
      </c>
      <c r="CB15" t="e">
        <f ca="1">Temp!M3+"VCW!Om"</f>
        <v>#VALUE!</v>
      </c>
      <c r="CC15" t="e">
        <f ca="1">Temp!N3+"VCW!On"</f>
        <v>#VALUE!</v>
      </c>
      <c r="CD15" t="e">
        <f ca="1">Temp!O3+"VCW!Oo"</f>
        <v>#VALUE!</v>
      </c>
      <c r="CE15" t="e">
        <f ca="1">Temp!P3+"VCW!Op"</f>
        <v>#VALUE!</v>
      </c>
      <c r="CF15" t="e">
        <f ca="1">Temp!Q3+"VCW!Oq"</f>
        <v>#VALUE!</v>
      </c>
      <c r="CG15" t="e">
        <f ca="1">Temp!R3+"VCW!Or"</f>
        <v>#VALUE!</v>
      </c>
      <c r="CH15" t="e">
        <f ca="1">Temp!S3+"VCW!Os"</f>
        <v>#VALUE!</v>
      </c>
      <c r="CI15" t="e">
        <f ca="1">Temp!T3+"VCW!Ot"</f>
        <v>#VALUE!</v>
      </c>
      <c r="CJ15" t="e">
        <f ca="1">Temp!U3+"VCW!Ou"</f>
        <v>#VALUE!</v>
      </c>
      <c r="CK15" t="e">
        <f ca="1">Temp!V3+"VCW!Ov"</f>
        <v>#VALUE!</v>
      </c>
      <c r="CL15" t="e">
        <f ca="1">Temp!W3+"VCW!Ow"</f>
        <v>#VALUE!</v>
      </c>
      <c r="CM15" t="e">
        <f ca="1">Temp!X3+"VCW!Ox"</f>
        <v>#VALUE!</v>
      </c>
      <c r="CN15" t="e">
        <f ca="1">Temp!Y3+"VCW!Oy"</f>
        <v>#VALUE!</v>
      </c>
      <c r="CO15" t="e">
        <f ca="1">Temp!Z3+"VCW!Oz"</f>
        <v>#VALUE!</v>
      </c>
      <c r="CP15" t="e">
        <f ca="1">Temp!AA3+"VCW!O{"</f>
        <v>#VALUE!</v>
      </c>
      <c r="CQ15" t="e">
        <f ca="1">Temp!AB3+"VCW!O|"</f>
        <v>#VALUE!</v>
      </c>
      <c r="CR15" t="e">
        <f ca="1">Temp!AC3+"VCW!O}"</f>
        <v>#VALUE!</v>
      </c>
      <c r="CS15" t="e">
        <f ca="1">Temp!AD3+"VCW!O~"</f>
        <v>#VALUE!</v>
      </c>
      <c r="CT15" t="e">
        <f ca="1">Temp!AE3+"VCW!P#"</f>
        <v>#VALUE!</v>
      </c>
      <c r="CU15" t="e">
        <f ca="1">Temp!AF3+"VCW!P$"</f>
        <v>#VALUE!</v>
      </c>
      <c r="CV15" t="e">
        <f ca="1">Temp!AG3+"VCW!P%"</f>
        <v>#VALUE!</v>
      </c>
      <c r="CW15" t="e">
        <f ca="1">Temp!AH3+"VCW!P&amp;"</f>
        <v>#VALUE!</v>
      </c>
      <c r="CX15" t="e">
        <f ca="1">Temp!AI3+"VCW!P'"</f>
        <v>#VALUE!</v>
      </c>
      <c r="CY15" t="e">
        <f ca="1">Temp!AJ3+"VCW!P("</f>
        <v>#VALUE!</v>
      </c>
      <c r="CZ15" t="e">
        <f ca="1">Temp!AK3+"VCW!P)"</f>
        <v>#VALUE!</v>
      </c>
      <c r="DA15" t="e">
        <f ca="1">Temp!AL3+"VCW!P."</f>
        <v>#VALUE!</v>
      </c>
      <c r="DB15" t="e">
        <f ca="1">Temp!AM3+"VCW!P/"</f>
        <v>#VALUE!</v>
      </c>
      <c r="DC15" t="e">
        <f ca="1">Temp!AN3+"VCW!P0"</f>
        <v>#VALUE!</v>
      </c>
      <c r="DD15" t="e">
        <f ca="1">Temp!AO3+"VCW!P1"</f>
        <v>#VALUE!</v>
      </c>
      <c r="DE15" t="e">
        <f ca="1">Temp!AP3+"VCW!P2"</f>
        <v>#VALUE!</v>
      </c>
      <c r="DF15" t="e">
        <f ca="1">Temp!AQ3+"VCW!P3"</f>
        <v>#VALUE!</v>
      </c>
      <c r="DG15" t="e">
        <f ca="1">Temp!AR3+"VCW!P4"</f>
        <v>#VALUE!</v>
      </c>
      <c r="DH15" t="e">
        <f ca="1">Temp!AS3+"VCW!P5"</f>
        <v>#VALUE!</v>
      </c>
      <c r="DI15" t="e">
        <f ca="1">Temp!AT3+"VCW!P6"</f>
        <v>#VALUE!</v>
      </c>
      <c r="DJ15" t="e">
        <f ca="1">Temp!AU3+"VCW!P7"</f>
        <v>#VALUE!</v>
      </c>
      <c r="DK15" t="e">
        <f ca="1">Temp!AV3+"VCW!P8"</f>
        <v>#VALUE!</v>
      </c>
      <c r="DL15" t="e">
        <f ca="1">Temp!AW3+"VCW!P9"</f>
        <v>#VALUE!</v>
      </c>
      <c r="DM15" t="e">
        <f ca="1">Temp!AX3+"VCW!P:"</f>
        <v>#VALUE!</v>
      </c>
      <c r="DN15" t="e">
        <f ca="1">Temp!AY3+"VCW!P;"</f>
        <v>#VALUE!</v>
      </c>
      <c r="DO15" t="e">
        <f ca="1">Temp!AZ3+"VCW!P&lt;"</f>
        <v>#VALUE!</v>
      </c>
      <c r="DP15" t="e">
        <f ca="1">Temp!BA3+"VCW!P="</f>
        <v>#VALUE!</v>
      </c>
      <c r="DQ15" t="e">
        <f ca="1">Temp!BB3+"VCW!P&gt;"</f>
        <v>#VALUE!</v>
      </c>
      <c r="DR15" t="e">
        <f ca="1">Temp!BC3+"VCW!P?"</f>
        <v>#VALUE!</v>
      </c>
      <c r="DS15" t="e">
        <f ca="1">Temp!BD3+"VCW!P@"</f>
        <v>#VALUE!</v>
      </c>
      <c r="DT15" t="e">
        <f ca="1">Temp!BE3+"VCW!PA"</f>
        <v>#VALUE!</v>
      </c>
      <c r="DU15" t="e">
        <f ca="1">Temp!BF3+"VCW!PB"</f>
        <v>#VALUE!</v>
      </c>
      <c r="DV15" t="e">
        <f ca="1">Temp!BG3+"VCW!PC"</f>
        <v>#VALUE!</v>
      </c>
      <c r="DW15" t="e">
        <f ca="1">Temp!BH3+"VCW!PD"</f>
        <v>#VALUE!</v>
      </c>
      <c r="DX15" t="e">
        <f ca="1">Temp!BI3+"VCW!PE"</f>
        <v>#VALUE!</v>
      </c>
      <c r="DY15" t="e">
        <f ca="1">Temp!BJ3+"VCW!PF"</f>
        <v>#VALUE!</v>
      </c>
      <c r="DZ15" t="e">
        <f ca="1">Temp!BK3+"VCW!PG"</f>
        <v>#VALUE!</v>
      </c>
      <c r="EA15" t="e">
        <f ca="1">Temp!BL3+"VCW!PH"</f>
        <v>#VALUE!</v>
      </c>
      <c r="EB15" t="e">
        <f ca="1">Temp!BM3+"VCW!PI"</f>
        <v>#VALUE!</v>
      </c>
      <c r="EC15" t="e">
        <f ca="1">Temp!BN3+"VCW!PJ"</f>
        <v>#VALUE!</v>
      </c>
      <c r="ED15" t="e">
        <f ca="1">Temp!BO3+"VCW!PK"</f>
        <v>#VALUE!</v>
      </c>
      <c r="EE15" t="e">
        <f ca="1">Temp!BP3+"VCW!PL"</f>
        <v>#VALUE!</v>
      </c>
      <c r="EF15" t="e">
        <f ca="1">Temp!BQ3+"VCW!PM"</f>
        <v>#VALUE!</v>
      </c>
      <c r="EG15" t="e">
        <f ca="1">Temp!BR3+"VCW!PN"</f>
        <v>#VALUE!</v>
      </c>
      <c r="EH15" t="e">
        <f ca="1">Temp!BS3+"VCW!PO"</f>
        <v>#VALUE!</v>
      </c>
      <c r="EI15" t="e">
        <f ca="1">Temp!BT3+"VCW!PP"</f>
        <v>#VALUE!</v>
      </c>
      <c r="EJ15" t="e">
        <f ca="1">Temp!BU3+"VCW!PQ"</f>
        <v>#VALUE!</v>
      </c>
      <c r="EK15" t="e">
        <f ca="1">Temp!BV3+"VCW!PR"</f>
        <v>#VALUE!</v>
      </c>
      <c r="EL15" t="e">
        <f ca="1">Temp!BW3+"VCW!PS"</f>
        <v>#VALUE!</v>
      </c>
      <c r="EM15" t="e">
        <f ca="1">Temp!BX3+"VCW!PT"</f>
        <v>#VALUE!</v>
      </c>
      <c r="EN15" t="e">
        <f ca="1">Temp!BY3+"VCW!PU"</f>
        <v>#VALUE!</v>
      </c>
      <c r="EO15" t="e">
        <f ca="1">Temp!A4+"VCW!PV"</f>
        <v>#VALUE!</v>
      </c>
      <c r="EP15" t="e">
        <f ca="1">Temp!B4+"VCW!PW"</f>
        <v>#VALUE!</v>
      </c>
      <c r="EQ15" t="e">
        <f ca="1">Temp!C4+"VCW!PX"</f>
        <v>#VALUE!</v>
      </c>
      <c r="ER15" t="e">
        <f ca="1">Temp!D4+"VCW!PY"</f>
        <v>#VALUE!</v>
      </c>
      <c r="ES15" t="e">
        <f ca="1">Temp!E4+"VCW!PZ"</f>
        <v>#VALUE!</v>
      </c>
      <c r="ET15" t="e">
        <f ca="1">Temp!F4+"VCW!P["</f>
        <v>#VALUE!</v>
      </c>
      <c r="EU15" t="e">
        <f ca="1">Temp!G4+"VCW!P\"</f>
        <v>#VALUE!</v>
      </c>
      <c r="EV15" t="e">
        <f ca="1">Temp!J4+"VCW!P]"</f>
        <v>#VALUE!</v>
      </c>
      <c r="EW15" t="e">
        <f ca="1">Temp!K4+"VCW!P^"</f>
        <v>#VALUE!</v>
      </c>
      <c r="EX15" t="e">
        <f ca="1">Temp!L4+"VCW!P_"</f>
        <v>#VALUE!</v>
      </c>
      <c r="EY15" t="e">
        <f ca="1">Temp!M4+"VCW!P`"</f>
        <v>#VALUE!</v>
      </c>
      <c r="EZ15" t="e">
        <f ca="1">Temp!N4+"VCW!Pa"</f>
        <v>#VALUE!</v>
      </c>
      <c r="FA15" t="e">
        <f ca="1">Temp!O4+"VCW!Pb"</f>
        <v>#VALUE!</v>
      </c>
      <c r="FB15" t="e">
        <f ca="1">Temp!P4+"VCW!Pc"</f>
        <v>#VALUE!</v>
      </c>
      <c r="FC15" t="e">
        <f ca="1">Temp!Q4+"VCW!Pd"</f>
        <v>#VALUE!</v>
      </c>
      <c r="FD15" t="e">
        <f ca="1">Temp!R4+"VCW!Pe"</f>
        <v>#VALUE!</v>
      </c>
      <c r="FE15" t="e">
        <f ca="1">Temp!S4+"VCW!Pf"</f>
        <v>#VALUE!</v>
      </c>
      <c r="FF15" t="e">
        <f ca="1">Temp!T4+"VCW!Pg"</f>
        <v>#VALUE!</v>
      </c>
      <c r="FG15" t="e">
        <f ca="1">Temp!U4+"VCW!Ph"</f>
        <v>#VALUE!</v>
      </c>
      <c r="FH15" t="e">
        <f ca="1">Temp!V4+"VCW!Pi"</f>
        <v>#VALUE!</v>
      </c>
      <c r="FI15" t="e">
        <f ca="1">Temp!W4+"VCW!Pj"</f>
        <v>#VALUE!</v>
      </c>
      <c r="FJ15" t="e">
        <f ca="1">Temp!X4+"VCW!Pk"</f>
        <v>#VALUE!</v>
      </c>
      <c r="FK15" t="e">
        <f ca="1">Temp!Y4+"VCW!Pl"</f>
        <v>#VALUE!</v>
      </c>
      <c r="FL15" t="e">
        <f ca="1">Temp!Z4+"VCW!Pm"</f>
        <v>#VALUE!</v>
      </c>
      <c r="FM15" t="e">
        <f ca="1">Temp!AA4+"VCW!Pn"</f>
        <v>#VALUE!</v>
      </c>
      <c r="FN15" t="e">
        <f ca="1">Temp!AB4+"VCW!Po"</f>
        <v>#VALUE!</v>
      </c>
      <c r="FO15" t="e">
        <f ca="1">Temp!AC4+"VCW!Pp"</f>
        <v>#VALUE!</v>
      </c>
      <c r="FP15" t="e">
        <f ca="1">Temp!AD4+"VCW!Pq"</f>
        <v>#VALUE!</v>
      </c>
      <c r="FQ15" t="e">
        <f ca="1">Temp!AE4+"VCW!Pr"</f>
        <v>#VALUE!</v>
      </c>
      <c r="FR15" t="e">
        <f ca="1">Temp!AF4+"VCW!Ps"</f>
        <v>#VALUE!</v>
      </c>
      <c r="FS15" t="e">
        <f ca="1">Temp!AG4+"VCW!Pt"</f>
        <v>#VALUE!</v>
      </c>
      <c r="FT15" t="e">
        <f ca="1">Temp!AH4+"VCW!Pu"</f>
        <v>#VALUE!</v>
      </c>
      <c r="FU15" t="e">
        <f ca="1">Temp!AI4+"VCW!Pv"</f>
        <v>#VALUE!</v>
      </c>
      <c r="FV15" t="e">
        <f ca="1">Temp!AJ4+"VCW!Pw"</f>
        <v>#VALUE!</v>
      </c>
      <c r="FW15" t="e">
        <f ca="1">Temp!AK4+"VCW!Px"</f>
        <v>#VALUE!</v>
      </c>
      <c r="FX15" t="e">
        <f ca="1">Temp!AL4+"VCW!Py"</f>
        <v>#VALUE!</v>
      </c>
      <c r="FY15" t="e">
        <f ca="1">Temp!AM4+"VCW!Pz"</f>
        <v>#VALUE!</v>
      </c>
      <c r="FZ15" t="e">
        <f ca="1">Temp!AN4+"VCW!P{"</f>
        <v>#VALUE!</v>
      </c>
      <c r="GA15" t="e">
        <f ca="1">Temp!AO4+"VCW!P|"</f>
        <v>#VALUE!</v>
      </c>
      <c r="GB15" t="e">
        <f ca="1">Temp!AP4+"VCW!P}"</f>
        <v>#VALUE!</v>
      </c>
      <c r="GC15" t="e">
        <f ca="1">Temp!AQ4+"VCW!P~"</f>
        <v>#VALUE!</v>
      </c>
      <c r="GD15" t="e">
        <f ca="1">Temp!AR4+"VCW!Q#"</f>
        <v>#VALUE!</v>
      </c>
      <c r="GE15" t="e">
        <f ca="1">Temp!AS4+"VCW!Q$"</f>
        <v>#VALUE!</v>
      </c>
      <c r="GF15" t="e">
        <f ca="1">Temp!AT4+"VCW!Q%"</f>
        <v>#VALUE!</v>
      </c>
      <c r="GG15" t="e">
        <f ca="1">Temp!AU4+"VCW!Q&amp;"</f>
        <v>#VALUE!</v>
      </c>
      <c r="GH15" t="e">
        <f ca="1">Temp!AV4+"VCW!Q'"</f>
        <v>#VALUE!</v>
      </c>
      <c r="GI15" t="e">
        <f ca="1">Temp!AW4+"VCW!Q("</f>
        <v>#VALUE!</v>
      </c>
      <c r="GJ15" t="e">
        <f ca="1">Temp!AX4+"VCW!Q)"</f>
        <v>#VALUE!</v>
      </c>
      <c r="GK15" t="e">
        <f ca="1">Temp!AY4+"VCW!Q."</f>
        <v>#VALUE!</v>
      </c>
      <c r="GL15" t="e">
        <f ca="1">Temp!AZ4+"VCW!Q/"</f>
        <v>#VALUE!</v>
      </c>
      <c r="GM15" t="e">
        <f ca="1">Temp!BA4+"VCW!Q0"</f>
        <v>#VALUE!</v>
      </c>
      <c r="GN15" t="e">
        <f ca="1">Temp!BB4+"VCW!Q1"</f>
        <v>#VALUE!</v>
      </c>
      <c r="GO15" t="e">
        <f ca="1">Temp!BC4+"VCW!Q2"</f>
        <v>#VALUE!</v>
      </c>
      <c r="GP15" t="e">
        <f ca="1">Temp!BD4+"VCW!Q3"</f>
        <v>#VALUE!</v>
      </c>
      <c r="GQ15" t="e">
        <f ca="1">Temp!BE4+"VCW!Q4"</f>
        <v>#VALUE!</v>
      </c>
      <c r="GR15" t="e">
        <f ca="1">Temp!BF4+"VCW!Q5"</f>
        <v>#VALUE!</v>
      </c>
      <c r="GS15" t="e">
        <f ca="1">Temp!BG4+"VCW!Q6"</f>
        <v>#VALUE!</v>
      </c>
      <c r="GT15" t="e">
        <f ca="1">Temp!BH4+"VCW!Q7"</f>
        <v>#VALUE!</v>
      </c>
      <c r="GU15" t="e">
        <f ca="1">Temp!BI4+"VCW!Q8"</f>
        <v>#VALUE!</v>
      </c>
      <c r="GV15" t="e">
        <f ca="1">Temp!BJ4+"VCW!Q9"</f>
        <v>#VALUE!</v>
      </c>
      <c r="GW15" t="e">
        <f ca="1">Temp!BK4+"VCW!Q:"</f>
        <v>#VALUE!</v>
      </c>
      <c r="GX15" t="e">
        <f ca="1">Temp!BL4+"VCW!Q;"</f>
        <v>#VALUE!</v>
      </c>
      <c r="GY15" t="e">
        <f ca="1">Temp!BM4+"VCW!Q&lt;"</f>
        <v>#VALUE!</v>
      </c>
      <c r="GZ15" t="e">
        <f ca="1">Temp!BN4+"VCW!Q="</f>
        <v>#VALUE!</v>
      </c>
      <c r="HA15" t="e">
        <f ca="1">Temp!BO4+"VCW!Q&gt;"</f>
        <v>#VALUE!</v>
      </c>
      <c r="HB15" t="e">
        <f ca="1">Temp!BP4+"VCW!Q?"</f>
        <v>#VALUE!</v>
      </c>
      <c r="HC15" t="e">
        <f ca="1">Temp!BQ4+"VCW!Q@"</f>
        <v>#VALUE!</v>
      </c>
      <c r="HD15" t="e">
        <f ca="1">Temp!BR4+"VCW!QA"</f>
        <v>#VALUE!</v>
      </c>
      <c r="HE15" t="e">
        <f ca="1">Temp!BS4+"VCW!QB"</f>
        <v>#VALUE!</v>
      </c>
      <c r="HF15" t="e">
        <f ca="1">Temp!BT4+"VCW!QC"</f>
        <v>#VALUE!</v>
      </c>
      <c r="HG15" t="e">
        <f ca="1">Temp!BU4+"VCW!QD"</f>
        <v>#VALUE!</v>
      </c>
      <c r="HH15" t="e">
        <f ca="1">Temp!BV4+"VCW!QE"</f>
        <v>#VALUE!</v>
      </c>
      <c r="HI15" t="e">
        <f ca="1">Temp!BW4+"VCW!QF"</f>
        <v>#VALUE!</v>
      </c>
      <c r="HJ15" t="e">
        <f ca="1">Temp!BX4+"VCW!QG"</f>
        <v>#VALUE!</v>
      </c>
      <c r="HK15" t="e">
        <f ca="1">Temp!BY4+"VCW!QH"</f>
        <v>#VALUE!</v>
      </c>
      <c r="HL15" t="e">
        <f ca="1">Temp!A5+"VCW!QI"</f>
        <v>#VALUE!</v>
      </c>
      <c r="HM15" t="e">
        <f ca="1">Temp!B5+"VCW!QJ"</f>
        <v>#VALUE!</v>
      </c>
      <c r="HN15" t="e">
        <f ca="1">Temp!C5+"VCW!QK"</f>
        <v>#VALUE!</v>
      </c>
      <c r="HO15" t="e">
        <f ca="1">Temp!D5+"VCW!QL"</f>
        <v>#VALUE!</v>
      </c>
      <c r="HP15" t="e">
        <f ca="1">Temp!E5+"VCW!QM"</f>
        <v>#VALUE!</v>
      </c>
      <c r="HQ15" t="e">
        <f ca="1">Temp!F5+"VCW!QN"</f>
        <v>#VALUE!</v>
      </c>
      <c r="HR15" t="e">
        <f ca="1">Temp!G5+"VCW!QO"</f>
        <v>#VALUE!</v>
      </c>
      <c r="HS15" t="e">
        <f ca="1">Temp!H5+"VCW!QP"</f>
        <v>#VALUE!</v>
      </c>
      <c r="HT15" t="e">
        <f ca="1">Temp!J5+"VCW!QQ"</f>
        <v>#VALUE!</v>
      </c>
      <c r="HU15" t="e">
        <f ca="1">Temp!K5+"VCW!QR"</f>
        <v>#VALUE!</v>
      </c>
      <c r="HV15" t="e">
        <f ca="1">Temp!L5+"VCW!QS"</f>
        <v>#VALUE!</v>
      </c>
      <c r="HW15" t="e">
        <f ca="1">Temp!M5+"VCW!QT"</f>
        <v>#VALUE!</v>
      </c>
      <c r="HX15" t="e">
        <f ca="1">Temp!N5+"VCW!QU"</f>
        <v>#VALUE!</v>
      </c>
      <c r="HY15" t="e">
        <f ca="1">Temp!O5+"VCW!QV"</f>
        <v>#VALUE!</v>
      </c>
      <c r="HZ15" t="e">
        <f ca="1">Temp!P5+"VCW!QW"</f>
        <v>#VALUE!</v>
      </c>
      <c r="IA15" t="e">
        <f ca="1">Temp!Q5+"VCW!QX"</f>
        <v>#VALUE!</v>
      </c>
      <c r="IB15" t="e">
        <f ca="1">Temp!R5+"VCW!QY"</f>
        <v>#VALUE!</v>
      </c>
      <c r="IC15" t="e">
        <f ca="1">Temp!S5+"VCW!QZ"</f>
        <v>#VALUE!</v>
      </c>
      <c r="ID15" t="e">
        <f ca="1">Temp!T5+"VCW!Q["</f>
        <v>#VALUE!</v>
      </c>
      <c r="IE15" t="e">
        <f ca="1">Temp!U5+"VCW!Q\"</f>
        <v>#VALUE!</v>
      </c>
      <c r="IF15" t="e">
        <f ca="1">Temp!V5+"VCW!Q]"</f>
        <v>#VALUE!</v>
      </c>
      <c r="IG15" t="e">
        <f ca="1">Temp!W5+"VCW!Q^"</f>
        <v>#VALUE!</v>
      </c>
      <c r="IH15" t="e">
        <f ca="1">Temp!X5+"VCW!Q_"</f>
        <v>#VALUE!</v>
      </c>
      <c r="II15" t="e">
        <f ca="1">Temp!Y5+"VCW!Q`"</f>
        <v>#VALUE!</v>
      </c>
      <c r="IJ15" t="e">
        <f ca="1">Temp!Z5+"VCW!Qa"</f>
        <v>#VALUE!</v>
      </c>
      <c r="IK15" t="e">
        <f ca="1">Temp!AA5+"VCW!Qb"</f>
        <v>#VALUE!</v>
      </c>
      <c r="IL15" t="e">
        <f ca="1">Temp!AB5+"VCW!Qc"</f>
        <v>#VALUE!</v>
      </c>
      <c r="IM15" t="e">
        <f ca="1">Temp!AC5+"VCW!Qd"</f>
        <v>#VALUE!</v>
      </c>
      <c r="IN15" t="e">
        <f ca="1">Temp!AD5+"VCW!Qe"</f>
        <v>#VALUE!</v>
      </c>
      <c r="IO15" t="e">
        <f ca="1">Temp!AE5+"VCW!Qf"</f>
        <v>#VALUE!</v>
      </c>
      <c r="IP15" t="e">
        <f ca="1">Temp!AF5+"VCW!Qg"</f>
        <v>#VALUE!</v>
      </c>
      <c r="IQ15" t="e">
        <f ca="1">Temp!AG5+"VCW!Qh"</f>
        <v>#VALUE!</v>
      </c>
      <c r="IR15" t="e">
        <f ca="1">Temp!AH5+"VCW!Qi"</f>
        <v>#VALUE!</v>
      </c>
      <c r="IS15" t="e">
        <f ca="1">Temp!AI5+"VCW!Qj"</f>
        <v>#VALUE!</v>
      </c>
      <c r="IT15" t="e">
        <f ca="1">Temp!AJ5+"VCW!Qk"</f>
        <v>#VALUE!</v>
      </c>
      <c r="IU15" t="e">
        <f ca="1">Temp!AK5+"VCW!Ql"</f>
        <v>#VALUE!</v>
      </c>
      <c r="IV15" t="e">
        <f ca="1">Temp!AL5+"VCW!Qm"</f>
        <v>#VALUE!</v>
      </c>
    </row>
    <row r="16" spans="1:256" x14ac:dyDescent="0.2">
      <c r="F16" t="e">
        <f ca="1">Temp!AM5+"VCW!Qn"</f>
        <v>#VALUE!</v>
      </c>
      <c r="G16" t="e">
        <f ca="1">Temp!AN5+"VCW!Qo"</f>
        <v>#VALUE!</v>
      </c>
      <c r="H16" t="e">
        <f ca="1">Temp!AO5+"VCW!Qp"</f>
        <v>#VALUE!</v>
      </c>
      <c r="I16" t="e">
        <f ca="1">Temp!AP5+"VCW!Qq"</f>
        <v>#VALUE!</v>
      </c>
      <c r="J16" t="e">
        <f ca="1">Temp!AQ5+"VCW!Qr"</f>
        <v>#VALUE!</v>
      </c>
      <c r="K16" t="e">
        <f ca="1">Temp!AR5+"VCW!Qs"</f>
        <v>#VALUE!</v>
      </c>
      <c r="L16" t="e">
        <f ca="1">Temp!AS5+"VCW!Qt"</f>
        <v>#VALUE!</v>
      </c>
      <c r="M16" t="e">
        <f ca="1">Temp!AT5+"VCW!Qu"</f>
        <v>#VALUE!</v>
      </c>
      <c r="N16" t="e">
        <f ca="1">Temp!AU5+"VCW!Qv"</f>
        <v>#VALUE!</v>
      </c>
      <c r="O16" t="e">
        <f ca="1">Temp!AV5+"VCW!Qw"</f>
        <v>#VALUE!</v>
      </c>
      <c r="P16" t="e">
        <f ca="1">Temp!AW5+"VCW!Qx"</f>
        <v>#VALUE!</v>
      </c>
      <c r="Q16" t="e">
        <f ca="1">Temp!AX5+"VCW!Qy"</f>
        <v>#VALUE!</v>
      </c>
      <c r="R16" t="e">
        <f ca="1">Temp!AY5+"VCW!Qz"</f>
        <v>#VALUE!</v>
      </c>
      <c r="S16" t="e">
        <f ca="1">Temp!AZ5+"VCW!Q{"</f>
        <v>#VALUE!</v>
      </c>
      <c r="T16" t="e">
        <f ca="1">Temp!BA5+"VCW!Q|"</f>
        <v>#VALUE!</v>
      </c>
      <c r="U16" t="e">
        <f ca="1">Temp!BB5+"VCW!Q}"</f>
        <v>#VALUE!</v>
      </c>
      <c r="V16" t="e">
        <f ca="1">Temp!BC5+"VCW!Q~"</f>
        <v>#VALUE!</v>
      </c>
      <c r="W16" t="e">
        <f ca="1">Temp!BD5+"VCW!R#"</f>
        <v>#VALUE!</v>
      </c>
      <c r="X16" t="e">
        <f ca="1">Temp!BE5+"VCW!R$"</f>
        <v>#VALUE!</v>
      </c>
      <c r="Y16" t="e">
        <f ca="1">Temp!BF5+"VCW!R%"</f>
        <v>#VALUE!</v>
      </c>
      <c r="Z16" t="e">
        <f ca="1">Temp!BG5+"VCW!R&amp;"</f>
        <v>#VALUE!</v>
      </c>
      <c r="AA16" t="e">
        <f ca="1">Temp!BH5+"VCW!R'"</f>
        <v>#VALUE!</v>
      </c>
      <c r="AB16" t="e">
        <f ca="1">Temp!BI5+"VCW!R("</f>
        <v>#VALUE!</v>
      </c>
      <c r="AC16" t="e">
        <f ca="1">Temp!BJ5+"VCW!R)"</f>
        <v>#VALUE!</v>
      </c>
      <c r="AD16" t="e">
        <f ca="1">Temp!BK5+"VCW!R."</f>
        <v>#VALUE!</v>
      </c>
      <c r="AE16" t="e">
        <f ca="1">Temp!BL5+"VCW!R/"</f>
        <v>#VALUE!</v>
      </c>
      <c r="AF16" t="e">
        <f ca="1">Temp!BM5+"VCW!R0"</f>
        <v>#VALUE!</v>
      </c>
      <c r="AG16" t="e">
        <f ca="1">Temp!BN5+"VCW!R1"</f>
        <v>#VALUE!</v>
      </c>
      <c r="AH16" t="e">
        <f ca="1">Temp!BO5+"VCW!R2"</f>
        <v>#VALUE!</v>
      </c>
      <c r="AI16" t="e">
        <f ca="1">Temp!BP5+"VCW!R3"</f>
        <v>#VALUE!</v>
      </c>
      <c r="AJ16" t="e">
        <f ca="1">Temp!BQ5+"VCW!R4"</f>
        <v>#VALUE!</v>
      </c>
      <c r="AK16" t="e">
        <f ca="1">Temp!BR5+"VCW!R5"</f>
        <v>#VALUE!</v>
      </c>
      <c r="AL16" t="e">
        <f ca="1">Temp!BS5+"VCW!R6"</f>
        <v>#VALUE!</v>
      </c>
      <c r="AM16" t="e">
        <f ca="1">Temp!BT5+"VCW!R7"</f>
        <v>#VALUE!</v>
      </c>
      <c r="AN16" t="e">
        <f ca="1">Temp!BU5+"VCW!R8"</f>
        <v>#VALUE!</v>
      </c>
      <c r="AO16" t="e">
        <f ca="1">Temp!BV5+"VCW!R9"</f>
        <v>#VALUE!</v>
      </c>
      <c r="AP16" t="e">
        <f ca="1">Temp!BW5+"VCW!R:"</f>
        <v>#VALUE!</v>
      </c>
      <c r="AQ16" t="e">
        <f ca="1">Temp!BX5+"VCW!R;"</f>
        <v>#VALUE!</v>
      </c>
      <c r="AR16" t="e">
        <f ca="1">Temp!BY5+"VCW!R&lt;"</f>
        <v>#VALUE!</v>
      </c>
      <c r="AS16" t="e">
        <f ca="1">Temp!A7+"VCW!R="</f>
        <v>#VALUE!</v>
      </c>
      <c r="AT16" t="e">
        <f ca="1">Temp!A9+"VCW!R&gt;"</f>
        <v>#VALUE!</v>
      </c>
      <c r="AU16" t="e">
        <f ca="1">Temp!B9+"VCW!R?"</f>
        <v>#VALUE!</v>
      </c>
      <c r="AV16" t="e">
        <f ca="1">Temp!C9+"VCW!R@"</f>
        <v>#VALUE!</v>
      </c>
      <c r="AW16" t="e">
        <f ca="1">Temp!D9+"VCW!RA"</f>
        <v>#VALUE!</v>
      </c>
      <c r="AX16" t="e">
        <f ca="1">Temp!E9+"VCW!RB"</f>
        <v>#VALUE!</v>
      </c>
      <c r="AY16" t="e">
        <f ca="1">Temp!F9+"VCW!RC"</f>
        <v>#VALUE!</v>
      </c>
      <c r="AZ16" t="e">
        <f ca="1">Temp!G9+"VCW!RD"</f>
        <v>#VALUE!</v>
      </c>
      <c r="BA16" t="e">
        <f ca="1">Temp!A10+"VCW!RE"</f>
        <v>#VALUE!</v>
      </c>
      <c r="BB16" t="e">
        <f ca="1">Temp!B10+"VCW!RF"</f>
        <v>#VALUE!</v>
      </c>
      <c r="BC16" t="e">
        <f ca="1">Temp!C10+"VCW!RG"</f>
        <v>#VALUE!</v>
      </c>
      <c r="BD16" t="e">
        <f ca="1">Temp!D10+"VCW!RH"</f>
        <v>#VALUE!</v>
      </c>
      <c r="BE16" t="e">
        <f ca="1">Temp!E10+"VCW!RI"</f>
        <v>#VALUE!</v>
      </c>
      <c r="BF16" t="e">
        <f ca="1">Temp!F10+"VCW!RJ"</f>
        <v>#VALUE!</v>
      </c>
      <c r="BG16" t="e">
        <f ca="1">Temp!G10+"VCW!RK"</f>
        <v>#VALUE!</v>
      </c>
      <c r="BH16" t="e">
        <f ca="1">Temp!H10+"VCW!RL"</f>
        <v>#VALUE!</v>
      </c>
      <c r="BI16" t="e">
        <f ca="1">Temp!I10+"VCW!RM"</f>
        <v>#VALUE!</v>
      </c>
      <c r="BJ16" t="e">
        <f ca="1">Temp!J10+"VCW!RN"</f>
        <v>#VALUE!</v>
      </c>
      <c r="BK16" t="e">
        <f ca="1">Temp!K10+"VCW!RO"</f>
        <v>#VALUE!</v>
      </c>
      <c r="BL16" t="e">
        <f ca="1">Temp!L10+"VCW!RP"</f>
        <v>#VALUE!</v>
      </c>
      <c r="BM16" t="e">
        <f ca="1">Temp!M10+"VCW!RQ"</f>
        <v>#VALUE!</v>
      </c>
      <c r="BN16" t="e">
        <f ca="1">Temp!N10+"VCW!RR"</f>
        <v>#VALUE!</v>
      </c>
      <c r="BO16" t="e">
        <f ca="1">Temp!O10+"VCW!RS"</f>
        <v>#VALUE!</v>
      </c>
      <c r="BP16" t="e">
        <f ca="1">Temp!P10+"VCW!RT"</f>
        <v>#VALUE!</v>
      </c>
      <c r="BQ16" t="e">
        <f ca="1">Temp!Q10+"VCW!RU"</f>
        <v>#VALUE!</v>
      </c>
      <c r="BR16" t="e">
        <f ca="1">Temp!R10+"VCW!RV"</f>
        <v>#VALUE!</v>
      </c>
      <c r="BS16" t="e">
        <f ca="1">Temp!S10+"VCW!RW"</f>
        <v>#VALUE!</v>
      </c>
      <c r="BT16" t="e">
        <f ca="1">Temp!T10+"VCW!RX"</f>
        <v>#VALUE!</v>
      </c>
      <c r="BU16" t="e">
        <f ca="1">Temp!U10+"VCW!RY"</f>
        <v>#VALUE!</v>
      </c>
      <c r="BV16" t="e">
        <f ca="1">Temp!V10+"VCW!RZ"</f>
        <v>#VALUE!</v>
      </c>
      <c r="BW16" t="e">
        <f ca="1">Temp!W10+"VCW!R["</f>
        <v>#VALUE!</v>
      </c>
      <c r="BX16" t="e">
        <f ca="1">Temp!X10+"VCW!R\"</f>
        <v>#VALUE!</v>
      </c>
      <c r="BY16" t="e">
        <f ca="1">Temp!Y10+"VCW!R]"</f>
        <v>#VALUE!</v>
      </c>
      <c r="BZ16" t="e">
        <f ca="1">Temp!Z10+"VCW!R^"</f>
        <v>#VALUE!</v>
      </c>
      <c r="CA16" t="e">
        <f ca="1">Temp!AA10+"VCW!R_"</f>
        <v>#VALUE!</v>
      </c>
      <c r="CB16" t="e">
        <f ca="1">Temp!AB10+"VCW!R`"</f>
        <v>#VALUE!</v>
      </c>
      <c r="CC16" t="e">
        <f ca="1">Temp!AC10+"VCW!Ra"</f>
        <v>#VALUE!</v>
      </c>
      <c r="CD16" t="e">
        <f ca="1">Temp!AD10+"VCW!Rb"</f>
        <v>#VALUE!</v>
      </c>
      <c r="CE16" t="e">
        <f ca="1">Temp!AE10+"VCW!Rc"</f>
        <v>#VALUE!</v>
      </c>
      <c r="CF16" t="e">
        <f ca="1">Temp!AF10+"VCW!Rd"</f>
        <v>#VALUE!</v>
      </c>
      <c r="CG16" t="e">
        <f ca="1">Temp!AG10+"VCW!Re"</f>
        <v>#VALUE!</v>
      </c>
      <c r="CH16" t="e">
        <f ca="1">Temp!AH10+"VCW!Rf"</f>
        <v>#VALUE!</v>
      </c>
      <c r="CI16" t="e">
        <f ca="1">Temp!AI10+"VCW!Rg"</f>
        <v>#VALUE!</v>
      </c>
      <c r="CJ16" t="e">
        <f ca="1">Temp!AJ10+"VCW!Rh"</f>
        <v>#VALUE!</v>
      </c>
      <c r="CK16" t="e">
        <f ca="1">Temp!AK10+"VCW!Ri"</f>
        <v>#VALUE!</v>
      </c>
      <c r="CL16" t="e">
        <f ca="1">Temp!AL10+"VCW!Rj"</f>
        <v>#VALUE!</v>
      </c>
      <c r="CM16" t="e">
        <f ca="1">Temp!AM10+"VCW!Rk"</f>
        <v>#VALUE!</v>
      </c>
      <c r="CN16" t="e">
        <f ca="1">Temp!AN10+"VCW!Rl"</f>
        <v>#VALUE!</v>
      </c>
      <c r="CO16" t="e">
        <f ca="1">Temp!AO10+"VCW!Rm"</f>
        <v>#VALUE!</v>
      </c>
      <c r="CP16" t="e">
        <f ca="1">Temp!AP10+"VCW!Rn"</f>
        <v>#VALUE!</v>
      </c>
      <c r="CQ16" t="e">
        <f ca="1">Temp!AQ10+"VCW!Ro"</f>
        <v>#VALUE!</v>
      </c>
      <c r="CR16" t="e">
        <f ca="1">Temp!AR10+"VCW!Rp"</f>
        <v>#VALUE!</v>
      </c>
      <c r="CS16" t="e">
        <f ca="1">Temp!AS10+"VCW!Rq"</f>
        <v>#VALUE!</v>
      </c>
      <c r="CT16" t="e">
        <f ca="1">Temp!AT10+"VCW!Rr"</f>
        <v>#VALUE!</v>
      </c>
      <c r="CU16" t="e">
        <f ca="1">Temp!AU10+"VCW!Rs"</f>
        <v>#VALUE!</v>
      </c>
      <c r="CV16" t="e">
        <f ca="1">Temp!AV10+"VCW!Rt"</f>
        <v>#VALUE!</v>
      </c>
      <c r="CW16" t="e">
        <f ca="1">Temp!AW10+"VCW!Ru"</f>
        <v>#VALUE!</v>
      </c>
      <c r="CX16" t="e">
        <f ca="1">Temp!AX10+"VCW!Rv"</f>
        <v>#VALUE!</v>
      </c>
      <c r="CY16" t="e">
        <f ca="1">Temp!AY10+"VCW!Rw"</f>
        <v>#VALUE!</v>
      </c>
      <c r="CZ16" t="e">
        <f ca="1">Temp!AZ10+"VCW!Rx"</f>
        <v>#VALUE!</v>
      </c>
      <c r="DA16" t="e">
        <f ca="1">Temp!BA10+"VCW!Ry"</f>
        <v>#VALUE!</v>
      </c>
      <c r="DB16" t="e">
        <f ca="1">Temp!BB10+"VCW!Rz"</f>
        <v>#VALUE!</v>
      </c>
      <c r="DC16" t="e">
        <f ca="1">Temp!BC10+"VCW!R{"</f>
        <v>#VALUE!</v>
      </c>
      <c r="DD16" t="e">
        <f ca="1">Temp!BD10+"VCW!R|"</f>
        <v>#VALUE!</v>
      </c>
      <c r="DE16" t="e">
        <f ca="1">Temp!BE10+"VCW!R}"</f>
        <v>#VALUE!</v>
      </c>
      <c r="DF16" t="e">
        <f ca="1">Temp!BF10+"VCW!R~"</f>
        <v>#VALUE!</v>
      </c>
      <c r="DG16" t="e">
        <f ca="1">Temp!BG10+"VCW!S#"</f>
        <v>#VALUE!</v>
      </c>
      <c r="DH16" t="e">
        <f ca="1">Temp!BH10+"VCW!S$"</f>
        <v>#VALUE!</v>
      </c>
      <c r="DI16" t="e">
        <f ca="1">Temp!BI10+"VCW!S%"</f>
        <v>#VALUE!</v>
      </c>
      <c r="DJ16" t="e">
        <f ca="1">Temp!BJ10+"VCW!S&amp;"</f>
        <v>#VALUE!</v>
      </c>
      <c r="DK16" t="e">
        <f ca="1">Temp!BK10+"VCW!S'"</f>
        <v>#VALUE!</v>
      </c>
      <c r="DL16" t="e">
        <f ca="1">Temp!BL10+"VCW!S("</f>
        <v>#VALUE!</v>
      </c>
      <c r="DM16" t="e">
        <f ca="1">Temp!BM10+"VCW!S)"</f>
        <v>#VALUE!</v>
      </c>
      <c r="DN16" t="e">
        <f ca="1">Temp!BN10+"VCW!S."</f>
        <v>#VALUE!</v>
      </c>
      <c r="DO16" t="e">
        <f ca="1">Temp!BO10+"VCW!S/"</f>
        <v>#VALUE!</v>
      </c>
      <c r="DP16" t="e">
        <f ca="1">Temp!BP10+"VCW!S0"</f>
        <v>#VALUE!</v>
      </c>
      <c r="DQ16" t="e">
        <f ca="1">Temp!BQ10+"VCW!S1"</f>
        <v>#VALUE!</v>
      </c>
      <c r="DR16" t="e">
        <f ca="1">Temp!BR10+"VCW!S2"</f>
        <v>#VALUE!</v>
      </c>
      <c r="DS16" t="e">
        <f ca="1">Temp!BS10+"VCW!S3"</f>
        <v>#VALUE!</v>
      </c>
      <c r="DT16" t="e">
        <f ca="1">Temp!BT10+"VCW!S4"</f>
        <v>#VALUE!</v>
      </c>
      <c r="DU16" t="e">
        <f ca="1">Temp!BU10+"VCW!S5"</f>
        <v>#VALUE!</v>
      </c>
      <c r="DV16" t="e">
        <f ca="1">Temp!BV10+"VCW!S6"</f>
        <v>#VALUE!</v>
      </c>
      <c r="DW16" t="e">
        <f ca="1">Temp!BW10+"VCW!S7"</f>
        <v>#VALUE!</v>
      </c>
      <c r="DX16" t="e">
        <f ca="1">Temp!BX10+"VCW!S8"</f>
        <v>#VALUE!</v>
      </c>
      <c r="DY16" t="e">
        <f ca="1">Temp!BY10+"VCW!S9"</f>
        <v>#VALUE!</v>
      </c>
      <c r="DZ16" t="e">
        <f ca="1">Temp!A11+"VCW!S:"</f>
        <v>#VALUE!</v>
      </c>
      <c r="EA16" t="e">
        <f ca="1">Temp!B11+"VCW!S;"</f>
        <v>#VALUE!</v>
      </c>
      <c r="EB16" t="e">
        <f ca="1">Temp!C11+"VCW!S&lt;"</f>
        <v>#VALUE!</v>
      </c>
      <c r="EC16" t="e">
        <f ca="1">Temp!D11+"VCW!S="</f>
        <v>#VALUE!</v>
      </c>
      <c r="ED16" t="e">
        <f ca="1">Temp!A12+"VCW!S&gt;"</f>
        <v>#VALUE!</v>
      </c>
      <c r="EE16" t="e">
        <f ca="1">Temp!B12+"VCW!S?"</f>
        <v>#VALUE!</v>
      </c>
      <c r="EF16" t="e">
        <f ca="1">Temp!C12+"VCW!S@"</f>
        <v>#VALUE!</v>
      </c>
      <c r="EG16" t="e">
        <f ca="1">Temp!D12+"VCW!SA"</f>
        <v>#VALUE!</v>
      </c>
      <c r="EH16" t="e">
        <f ca="1">Temp!E12+"VCW!SB"</f>
        <v>#VALUE!</v>
      </c>
      <c r="EI16" t="e">
        <f ca="1">Temp!G12+"VCW!SC"</f>
        <v>#VALUE!</v>
      </c>
      <c r="EJ16" t="e">
        <f ca="1">Temp!J12+"VCW!SD"</f>
        <v>#VALUE!</v>
      </c>
      <c r="EK16" t="e">
        <f ca="1">Temp!K12+"VCW!SE"</f>
        <v>#VALUE!</v>
      </c>
      <c r="EL16" t="e">
        <f ca="1">Temp!L12+"VCW!SF"</f>
        <v>#VALUE!</v>
      </c>
      <c r="EM16" t="e">
        <f ca="1">Temp!M12+"VCW!SG"</f>
        <v>#VALUE!</v>
      </c>
      <c r="EN16" t="e">
        <f ca="1">Temp!N12+"VCW!SH"</f>
        <v>#VALUE!</v>
      </c>
      <c r="EO16" t="e">
        <f ca="1">Temp!O12+"VCW!SI"</f>
        <v>#VALUE!</v>
      </c>
      <c r="EP16" t="e">
        <f ca="1">Temp!P12+"VCW!SJ"</f>
        <v>#VALUE!</v>
      </c>
      <c r="EQ16" t="e">
        <f ca="1">Temp!Q12+"VCW!SK"</f>
        <v>#VALUE!</v>
      </c>
      <c r="ER16" t="e">
        <f ca="1">Temp!R12+"VCW!SL"</f>
        <v>#VALUE!</v>
      </c>
      <c r="ES16" t="e">
        <f ca="1">Temp!S12+"VCW!SM"</f>
        <v>#VALUE!</v>
      </c>
      <c r="ET16" t="e">
        <f ca="1">Temp!T12+"VCW!SN"</f>
        <v>#VALUE!</v>
      </c>
      <c r="EU16" t="e">
        <f ca="1">Temp!U12+"VCW!SO"</f>
        <v>#VALUE!</v>
      </c>
      <c r="EV16" t="e">
        <f ca="1">Temp!V12+"VCW!SP"</f>
        <v>#VALUE!</v>
      </c>
      <c r="EW16" t="e">
        <f ca="1">Temp!W12+"VCW!SQ"</f>
        <v>#VALUE!</v>
      </c>
      <c r="EX16" t="e">
        <f ca="1">Temp!X12+"VCW!SR"</f>
        <v>#VALUE!</v>
      </c>
      <c r="EY16" t="e">
        <f ca="1">Temp!Y12+"VCW!SS"</f>
        <v>#VALUE!</v>
      </c>
      <c r="EZ16" t="e">
        <f ca="1">Temp!Z12+"VCW!ST"</f>
        <v>#VALUE!</v>
      </c>
      <c r="FA16" t="e">
        <f ca="1">Temp!AA12+"VCW!SU"</f>
        <v>#VALUE!</v>
      </c>
      <c r="FB16" t="e">
        <f ca="1">Temp!AB12+"VCW!SV"</f>
        <v>#VALUE!</v>
      </c>
      <c r="FC16" t="e">
        <f ca="1">Temp!AC12+"VCW!SW"</f>
        <v>#VALUE!</v>
      </c>
      <c r="FD16" t="e">
        <f ca="1">Temp!AD12+"VCW!SX"</f>
        <v>#VALUE!</v>
      </c>
      <c r="FE16" t="e">
        <f ca="1">Temp!AE12+"VCW!SY"</f>
        <v>#VALUE!</v>
      </c>
      <c r="FF16" t="e">
        <f ca="1">Temp!AF12+"VCW!SZ"</f>
        <v>#VALUE!</v>
      </c>
      <c r="FG16" t="e">
        <f ca="1">Temp!AG12+"VCW!S["</f>
        <v>#VALUE!</v>
      </c>
      <c r="FH16" t="e">
        <f ca="1">Temp!AH12+"VCW!S\"</f>
        <v>#VALUE!</v>
      </c>
      <c r="FI16" t="e">
        <f ca="1">Temp!AI12+"VCW!S]"</f>
        <v>#VALUE!</v>
      </c>
      <c r="FJ16" t="e">
        <f ca="1">Temp!AJ12+"VCW!S^"</f>
        <v>#VALUE!</v>
      </c>
      <c r="FK16" t="e">
        <f ca="1">Temp!AK12+"VCW!S_"</f>
        <v>#VALUE!</v>
      </c>
      <c r="FL16" t="e">
        <f ca="1">Temp!AL12+"VCW!S`"</f>
        <v>#VALUE!</v>
      </c>
      <c r="FM16" t="e">
        <f ca="1">Temp!AM12+"VCW!Sa"</f>
        <v>#VALUE!</v>
      </c>
      <c r="FN16" t="e">
        <f ca="1">Temp!AN12+"VCW!Sb"</f>
        <v>#VALUE!</v>
      </c>
      <c r="FO16" t="e">
        <f ca="1">Temp!AO12+"VCW!Sc"</f>
        <v>#VALUE!</v>
      </c>
      <c r="FP16" t="e">
        <f ca="1">Temp!AP12+"VCW!Sd"</f>
        <v>#VALUE!</v>
      </c>
      <c r="FQ16" t="e">
        <f ca="1">Temp!AQ12+"VCW!Se"</f>
        <v>#VALUE!</v>
      </c>
      <c r="FR16" t="e">
        <f ca="1">Temp!AR12+"VCW!Sf"</f>
        <v>#VALUE!</v>
      </c>
      <c r="FS16" t="e">
        <f ca="1">Temp!AS12+"VCW!Sg"</f>
        <v>#VALUE!</v>
      </c>
      <c r="FT16" t="e">
        <f ca="1">Temp!AT12+"VCW!Sh"</f>
        <v>#VALUE!</v>
      </c>
      <c r="FU16" t="e">
        <f ca="1">Temp!AU12+"VCW!Si"</f>
        <v>#VALUE!</v>
      </c>
      <c r="FV16" t="e">
        <f ca="1">Temp!AV12+"VCW!Sj"</f>
        <v>#VALUE!</v>
      </c>
      <c r="FW16" t="e">
        <f ca="1">Temp!AW12+"VCW!Sk"</f>
        <v>#VALUE!</v>
      </c>
      <c r="FX16" t="e">
        <f ca="1">Temp!AX12+"VCW!Sl"</f>
        <v>#VALUE!</v>
      </c>
      <c r="FY16" t="e">
        <f ca="1">Temp!AY12+"VCW!Sm"</f>
        <v>#VALUE!</v>
      </c>
      <c r="FZ16" t="e">
        <f ca="1">Temp!AZ12+"VCW!Sn"</f>
        <v>#VALUE!</v>
      </c>
      <c r="GA16" t="e">
        <f ca="1">Temp!BA12+"VCW!So"</f>
        <v>#VALUE!</v>
      </c>
      <c r="GB16" t="e">
        <f ca="1">Temp!BB12+"VCW!Sp"</f>
        <v>#VALUE!</v>
      </c>
      <c r="GC16" t="e">
        <f ca="1">Temp!BC12+"VCW!Sq"</f>
        <v>#VALUE!</v>
      </c>
      <c r="GD16" t="e">
        <f ca="1">Temp!BD12+"VCW!Sr"</f>
        <v>#VALUE!</v>
      </c>
      <c r="GE16" t="e">
        <f ca="1">Temp!BE12+"VCW!Ss"</f>
        <v>#VALUE!</v>
      </c>
      <c r="GF16" t="e">
        <f ca="1">Temp!BF12+"VCW!St"</f>
        <v>#VALUE!</v>
      </c>
      <c r="GG16" t="e">
        <f ca="1">Temp!BG12+"VCW!Su"</f>
        <v>#VALUE!</v>
      </c>
      <c r="GH16" t="e">
        <f ca="1">Temp!BH12+"VCW!Sv"</f>
        <v>#VALUE!</v>
      </c>
      <c r="GI16" t="e">
        <f ca="1">Temp!BI12+"VCW!Sw"</f>
        <v>#VALUE!</v>
      </c>
      <c r="GJ16" t="e">
        <f ca="1">Temp!BJ12+"VCW!Sx"</f>
        <v>#VALUE!</v>
      </c>
      <c r="GK16" t="e">
        <f ca="1">Temp!BK12+"VCW!Sy"</f>
        <v>#VALUE!</v>
      </c>
      <c r="GL16" t="e">
        <f ca="1">Temp!BL12+"VCW!Sz"</f>
        <v>#VALUE!</v>
      </c>
      <c r="GM16" t="e">
        <f ca="1">Temp!BM12+"VCW!S{"</f>
        <v>#VALUE!</v>
      </c>
      <c r="GN16" t="e">
        <f ca="1">Temp!BN12+"VCW!S|"</f>
        <v>#VALUE!</v>
      </c>
      <c r="GO16" t="e">
        <f ca="1">Temp!BO12+"VCW!S}"</f>
        <v>#VALUE!</v>
      </c>
      <c r="GP16" t="e">
        <f ca="1">Temp!BP12+"VCW!S~"</f>
        <v>#VALUE!</v>
      </c>
      <c r="GQ16" t="e">
        <f ca="1">Temp!BQ12+"VCW!T#"</f>
        <v>#VALUE!</v>
      </c>
      <c r="GR16" t="e">
        <f ca="1">Temp!BR12+"VCW!T$"</f>
        <v>#VALUE!</v>
      </c>
      <c r="GS16" t="e">
        <f ca="1">Temp!BS12+"VCW!T%"</f>
        <v>#VALUE!</v>
      </c>
      <c r="GT16" t="e">
        <f ca="1">Temp!BT12+"VCW!T&amp;"</f>
        <v>#VALUE!</v>
      </c>
      <c r="GU16" t="e">
        <f ca="1">Temp!BU12+"VCW!T'"</f>
        <v>#VALUE!</v>
      </c>
      <c r="GV16" t="e">
        <f ca="1">Temp!BV12+"VCW!T("</f>
        <v>#VALUE!</v>
      </c>
      <c r="GW16" t="e">
        <f ca="1">Temp!BW12+"VCW!T)"</f>
        <v>#VALUE!</v>
      </c>
      <c r="GX16" t="e">
        <f ca="1">Temp!BX12+"VCW!T."</f>
        <v>#VALUE!</v>
      </c>
      <c r="GY16" t="e">
        <f ca="1">Temp!BY12+"VCW!T/"</f>
        <v>#VALUE!</v>
      </c>
      <c r="GZ16" t="e">
        <f ca="1">Temp!A13+"VCW!T0"</f>
        <v>#VALUE!</v>
      </c>
      <c r="HA16" t="e">
        <f ca="1">Temp!B13+"VCW!T1"</f>
        <v>#VALUE!</v>
      </c>
      <c r="HB16" t="e">
        <f ca="1">Temp!C13+"VCW!T2"</f>
        <v>#VALUE!</v>
      </c>
      <c r="HC16" t="e">
        <f ca="1">Temp!D13+"VCW!T3"</f>
        <v>#VALUE!</v>
      </c>
      <c r="HD16" t="e">
        <f ca="1">Temp!E13+"VCW!T4"</f>
        <v>#VALUE!</v>
      </c>
      <c r="HE16" t="e">
        <f ca="1">Temp!A14+"VCW!T5"</f>
        <v>#VALUE!</v>
      </c>
      <c r="HF16" t="e">
        <f ca="1">Temp!B14+"VCW!T6"</f>
        <v>#VALUE!</v>
      </c>
      <c r="HG16" t="e">
        <f ca="1">Temp!C14+"VCW!T7"</f>
        <v>#VALUE!</v>
      </c>
      <c r="HH16" t="e">
        <f ca="1">Temp!D14+"VCW!T8"</f>
        <v>#VALUE!</v>
      </c>
      <c r="HI16" t="e">
        <f ca="1">Temp!E14+"VCW!T9"</f>
        <v>#VALUE!</v>
      </c>
      <c r="HJ16" t="e">
        <f ca="1">Temp!A15+"VCW!T:"</f>
        <v>#VALUE!</v>
      </c>
      <c r="HK16" t="e">
        <f ca="1">Temp!B15+"VCW!T;"</f>
        <v>#VALUE!</v>
      </c>
      <c r="HL16" t="e">
        <f ca="1">Temp!C15+"VCW!T&lt;"</f>
        <v>#VALUE!</v>
      </c>
      <c r="HM16" t="e">
        <f ca="1">Temp!D15+"VCW!T="</f>
        <v>#VALUE!</v>
      </c>
      <c r="HN16" t="e">
        <f ca="1">Temp!E15+"VCW!T&gt;"</f>
        <v>#VALUE!</v>
      </c>
      <c r="HO16" t="e">
        <f ca="1">Temp!G15+"VCW!T?"</f>
        <v>#VALUE!</v>
      </c>
      <c r="HP16" t="e">
        <f ca="1">Temp!I15+"VCW!T@"</f>
        <v>#VALUE!</v>
      </c>
      <c r="HQ16" t="e">
        <f ca="1">Temp!J15+"VCW!TA"</f>
        <v>#VALUE!</v>
      </c>
      <c r="HR16" t="e">
        <f ca="1">Temp!K15+"VCW!TB"</f>
        <v>#VALUE!</v>
      </c>
      <c r="HS16" t="e">
        <f ca="1">Temp!L15+"VCW!TC"</f>
        <v>#VALUE!</v>
      </c>
      <c r="HT16" t="e">
        <f ca="1">Temp!M15+"VCW!TD"</f>
        <v>#VALUE!</v>
      </c>
      <c r="HU16" t="e">
        <f ca="1">Temp!N15+"VCW!TE"</f>
        <v>#VALUE!</v>
      </c>
      <c r="HV16" t="e">
        <f ca="1">Temp!O15+"VCW!TF"</f>
        <v>#VALUE!</v>
      </c>
      <c r="HW16" t="e">
        <f ca="1">Temp!P15+"VCW!TG"</f>
        <v>#VALUE!</v>
      </c>
      <c r="HX16" t="e">
        <f ca="1">Temp!Q15+"VCW!TH"</f>
        <v>#VALUE!</v>
      </c>
      <c r="HY16" t="e">
        <f ca="1">Temp!R15+"VCW!TI"</f>
        <v>#VALUE!</v>
      </c>
      <c r="HZ16" t="e">
        <f ca="1">Temp!S15+"VCW!TJ"</f>
        <v>#VALUE!</v>
      </c>
      <c r="IA16" t="e">
        <f ca="1">Temp!T15+"VCW!TK"</f>
        <v>#VALUE!</v>
      </c>
      <c r="IB16" t="e">
        <f ca="1">Temp!U15+"VCW!TL"</f>
        <v>#VALUE!</v>
      </c>
      <c r="IC16" t="e">
        <f ca="1">Temp!V15+"VCW!TM"</f>
        <v>#VALUE!</v>
      </c>
      <c r="ID16" t="e">
        <f ca="1">Temp!W15+"VCW!TN"</f>
        <v>#VALUE!</v>
      </c>
      <c r="IE16" t="e">
        <f ca="1">Temp!X15+"VCW!TO"</f>
        <v>#VALUE!</v>
      </c>
      <c r="IF16" t="e">
        <f ca="1">Temp!Y15+"VCW!TP"</f>
        <v>#VALUE!</v>
      </c>
      <c r="IG16" t="e">
        <f ca="1">Temp!Z15+"VCW!TQ"</f>
        <v>#VALUE!</v>
      </c>
      <c r="IH16" t="e">
        <f ca="1">Temp!AA15+"VCW!TR"</f>
        <v>#VALUE!</v>
      </c>
      <c r="II16" t="e">
        <f ca="1">Temp!AB15+"VCW!TS"</f>
        <v>#VALUE!</v>
      </c>
      <c r="IJ16" t="e">
        <f ca="1">Temp!AC15+"VCW!TT"</f>
        <v>#VALUE!</v>
      </c>
      <c r="IK16" t="e">
        <f ca="1">Temp!AD15+"VCW!TU"</f>
        <v>#VALUE!</v>
      </c>
      <c r="IL16" t="e">
        <f ca="1">Temp!AE15+"VCW!TV"</f>
        <v>#VALUE!</v>
      </c>
      <c r="IM16" t="e">
        <f ca="1">Temp!AF15+"VCW!TW"</f>
        <v>#VALUE!</v>
      </c>
      <c r="IN16" t="e">
        <f ca="1">Temp!AG15+"VCW!TX"</f>
        <v>#VALUE!</v>
      </c>
      <c r="IO16" t="e">
        <f ca="1">Temp!AH15+"VCW!TY"</f>
        <v>#VALUE!</v>
      </c>
      <c r="IP16" t="e">
        <f ca="1">Temp!AI15+"VCW!TZ"</f>
        <v>#VALUE!</v>
      </c>
      <c r="IQ16" t="e">
        <f ca="1">Temp!AJ15+"VCW!T["</f>
        <v>#VALUE!</v>
      </c>
      <c r="IR16" t="e">
        <f ca="1">Temp!AK15+"VCW!T\"</f>
        <v>#VALUE!</v>
      </c>
      <c r="IS16" t="e">
        <f ca="1">Temp!AL15+"VCW!T]"</f>
        <v>#VALUE!</v>
      </c>
      <c r="IT16" t="e">
        <f ca="1">Temp!AM15+"VCW!T^"</f>
        <v>#VALUE!</v>
      </c>
      <c r="IU16" t="e">
        <f ca="1">Temp!AN15+"VCW!T_"</f>
        <v>#VALUE!</v>
      </c>
      <c r="IV16" t="e">
        <f ca="1">Temp!AO15+"VCW!T`"</f>
        <v>#VALUE!</v>
      </c>
    </row>
    <row r="17" spans="6:49" x14ac:dyDescent="0.2">
      <c r="F17" t="e">
        <f ca="1">Temp!AP15+"VCW!Ta"</f>
        <v>#VALUE!</v>
      </c>
      <c r="G17" t="e">
        <f ca="1">Temp!AQ15+"VCW!Tb"</f>
        <v>#VALUE!</v>
      </c>
      <c r="H17" t="e">
        <f ca="1">Temp!AR15+"VCW!Tc"</f>
        <v>#VALUE!</v>
      </c>
      <c r="I17" t="e">
        <f ca="1">Temp!AS15+"VCW!Td"</f>
        <v>#VALUE!</v>
      </c>
      <c r="J17" t="e">
        <f ca="1">Temp!AT15+"VCW!Te"</f>
        <v>#VALUE!</v>
      </c>
      <c r="K17" t="e">
        <f ca="1">Temp!AU15+"VCW!Tf"</f>
        <v>#VALUE!</v>
      </c>
      <c r="L17" t="e">
        <f ca="1">Temp!AV15+"VCW!Tg"</f>
        <v>#VALUE!</v>
      </c>
      <c r="M17" t="e">
        <f ca="1">Temp!AW15+"VCW!Th"</f>
        <v>#VALUE!</v>
      </c>
      <c r="N17" t="e">
        <f ca="1">Temp!AX15+"VCW!Ti"</f>
        <v>#VALUE!</v>
      </c>
      <c r="O17" t="e">
        <f ca="1">Temp!AY15+"VCW!Tj"</f>
        <v>#VALUE!</v>
      </c>
      <c r="P17" t="e">
        <f ca="1">Temp!AZ15+"VCW!Tk"</f>
        <v>#VALUE!</v>
      </c>
      <c r="Q17" t="e">
        <f ca="1">Temp!BA15+"VCW!Tl"</f>
        <v>#VALUE!</v>
      </c>
      <c r="R17" t="e">
        <f ca="1">Temp!BB15+"VCW!Tm"</f>
        <v>#VALUE!</v>
      </c>
      <c r="S17" t="e">
        <f ca="1">Temp!BC15+"VCW!Tn"</f>
        <v>#VALUE!</v>
      </c>
      <c r="T17" t="e">
        <f ca="1">Temp!BD15+"VCW!To"</f>
        <v>#VALUE!</v>
      </c>
      <c r="U17" t="e">
        <f ca="1">Temp!BE15+"VCW!Tp"</f>
        <v>#VALUE!</v>
      </c>
      <c r="V17" t="e">
        <f ca="1">Temp!BF15+"VCW!Tq"</f>
        <v>#VALUE!</v>
      </c>
      <c r="W17" t="e">
        <f ca="1">Temp!BG15+"VCW!Tr"</f>
        <v>#VALUE!</v>
      </c>
      <c r="X17" t="e">
        <f ca="1">Temp!BH15+"VCW!Ts"</f>
        <v>#VALUE!</v>
      </c>
      <c r="Y17" t="e">
        <f ca="1">Temp!BI15+"VCW!Tt"</f>
        <v>#VALUE!</v>
      </c>
      <c r="Z17" t="e">
        <f ca="1">Temp!BJ15+"VCW!Tu"</f>
        <v>#VALUE!</v>
      </c>
      <c r="AA17" t="e">
        <f ca="1">Temp!BK15+"VCW!Tv"</f>
        <v>#VALUE!</v>
      </c>
      <c r="AB17" t="e">
        <f ca="1">Temp!BL15+"VCW!Tw"</f>
        <v>#VALUE!</v>
      </c>
      <c r="AC17" t="e">
        <f ca="1">Temp!BM15+"VCW!Tx"</f>
        <v>#VALUE!</v>
      </c>
      <c r="AD17" t="e">
        <f ca="1">Temp!BN15+"VCW!Ty"</f>
        <v>#VALUE!</v>
      </c>
      <c r="AE17" t="e">
        <f ca="1">Temp!BO15+"VCW!Tz"</f>
        <v>#VALUE!</v>
      </c>
      <c r="AF17" t="e">
        <f ca="1">Temp!BP15+"VCW!T{"</f>
        <v>#VALUE!</v>
      </c>
      <c r="AG17" t="e">
        <f ca="1">Temp!BQ15+"VCW!T|"</f>
        <v>#VALUE!</v>
      </c>
      <c r="AH17" t="e">
        <f ca="1">Temp!BR15+"VCW!T}"</f>
        <v>#VALUE!</v>
      </c>
      <c r="AI17" t="e">
        <f ca="1">Temp!BS15+"VCW!T~"</f>
        <v>#VALUE!</v>
      </c>
      <c r="AJ17" t="e">
        <f ca="1">Temp!BT15+"VCW!U#"</f>
        <v>#VALUE!</v>
      </c>
      <c r="AK17" t="e">
        <f ca="1">Temp!BU15+"VCW!U$"</f>
        <v>#VALUE!</v>
      </c>
      <c r="AL17" t="e">
        <f ca="1">Temp!BV15+"VCW!U%"</f>
        <v>#VALUE!</v>
      </c>
      <c r="AM17" t="e">
        <f ca="1">Temp!BW15+"VCW!U&amp;"</f>
        <v>#VALUE!</v>
      </c>
      <c r="AN17" t="e">
        <f ca="1">Temp!BX15+"VCW!U'"</f>
        <v>#VALUE!</v>
      </c>
      <c r="AO17" t="e">
        <f ca="1">Temp!BY15+"VCW!U("</f>
        <v>#VALUE!</v>
      </c>
      <c r="AP17" t="e">
        <f ca="1">Temp!A16+"VCW!U)"</f>
        <v>#VALUE!</v>
      </c>
      <c r="AQ17" t="e">
        <f ca="1">Temp!B16+"VCW!U."</f>
        <v>#VALUE!</v>
      </c>
      <c r="AR17" t="e">
        <f ca="1">Temp!C16+"VCW!U/"</f>
        <v>#VALUE!</v>
      </c>
      <c r="AS17" t="e">
        <f ca="1">Temp!D16+"VCW!U0"</f>
        <v>#VALUE!</v>
      </c>
      <c r="AT17" t="e">
        <f ca="1">Temp!F27+"VCW!U1"</f>
        <v>#VALUE!</v>
      </c>
      <c r="AU17" t="e">
        <f ca="1">Temp!N27+"VCW!U2"</f>
        <v>#VALUE!</v>
      </c>
      <c r="AV17" t="e">
        <f ca="1">Temp!G28+"VCW!U3"</f>
        <v>#VALUE!</v>
      </c>
      <c r="AW17" t="e">
        <f ca="1">Temp!F37+"VCW!U4"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InpC</vt:lpstr>
      <vt:lpstr>Time</vt:lpstr>
      <vt:lpstr>Temp</vt:lpstr>
      <vt:lpstr>InpC!Print_Area</vt:lpstr>
      <vt:lpstr>Temp!Print_Area</vt:lpstr>
      <vt:lpstr>Time!Print_Area</vt:lpstr>
      <vt:lpstr>InpC!Print_Titles</vt:lpstr>
      <vt:lpstr>Temp!Print_Titles</vt:lpstr>
      <vt:lpstr>Time!Print_Titles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Modeller</dc:creator>
  <cp:lastModifiedBy>Windows User</cp:lastModifiedBy>
  <cp:lastPrinted>2008-10-15T15:36:30Z</cp:lastPrinted>
  <dcterms:created xsi:type="dcterms:W3CDTF">2004-05-12T17:06:52Z</dcterms:created>
  <dcterms:modified xsi:type="dcterms:W3CDTF">2014-10-17T16:16:00Z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Offisync_UpdateToken" pid="2">
    <vt:lpwstr>1</vt:lpwstr>
  </property>
  <property fmtid="{D5CDD505-2E9C-101B-9397-08002B2CF9AE}" name="Jive_LatestUserAccountName" pid="3">
    <vt:lpwstr>kenny.whitelaw-jones@f1f9.com</vt:lpwstr>
  </property>
  <property fmtid="{D5CDD505-2E9C-101B-9397-08002B2CF9AE}" name="Offisync_ProviderInitializationData" pid="4">
    <vt:lpwstr>https://f1f9.jiveon.com</vt:lpwstr>
  </property>
  <property fmtid="{D5CDD505-2E9C-101B-9397-08002B2CF9AE}" name="Offisync_UniqueId" pid="5">
    <vt:lpwstr>2199</vt:lpwstr>
  </property>
  <property fmtid="{D5CDD505-2E9C-101B-9397-08002B2CF9AE}" name="Jive_VersionGuid" pid="6">
    <vt:lpwstr>15b98708676346ee938887582244963a</vt:lpwstr>
  </property>
  <property fmtid="{D5CDD505-2E9C-101B-9397-08002B2CF9AE}" name="Offisync_ServerID" pid="7">
    <vt:lpwstr>15cc4727-2be0-49a0-b8bf-d07d94f0ee92</vt:lpwstr>
  </property>
</Properties>
</file>